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27b3562561686d/Profissional/- CAMNORTE/- Novo Regulamento/"/>
    </mc:Choice>
  </mc:AlternateContent>
  <xr:revisionPtr revIDLastSave="1" documentId="13_ncr:1_{5A099F8C-125E-DA49-9414-E3D148411FA8}" xr6:coauthVersionLast="45" xr6:coauthVersionMax="45" xr10:uidLastSave="{8EA7C1FB-8F97-8B44-A62E-73505A2A3200}"/>
  <bookViews>
    <workbookView xWindow="860" yWindow="460" windowWidth="26460" windowHeight="14900" xr2:uid="{00000000-000D-0000-FFFF-FFFF00000000}"/>
  </bookViews>
  <sheets>
    <sheet name="Tabela 2019" sheetId="8" r:id="rId1"/>
    <sheet name="Calculadora" sheetId="3" r:id="rId2"/>
    <sheet name="RawData Nova Tabela" sheetId="6" state="hidden" r:id="rId3"/>
    <sheet name="Tabela Arbitragem Simplificada" sheetId="2" r:id="rId4"/>
    <sheet name="Contas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8" l="1"/>
  <c r="L33" i="8"/>
  <c r="L32" i="8"/>
  <c r="J28" i="8"/>
  <c r="J29" i="8" s="1"/>
  <c r="L27" i="8"/>
  <c r="L17" i="8"/>
  <c r="L16" i="8"/>
  <c r="L15" i="8"/>
  <c r="J11" i="8"/>
  <c r="L11" i="8" s="1"/>
  <c r="L10" i="8"/>
  <c r="J19" i="6"/>
  <c r="F33" i="6"/>
  <c r="E33" i="6"/>
  <c r="G33" i="6" s="1"/>
  <c r="H33" i="6" s="1"/>
  <c r="I33" i="6" s="1"/>
  <c r="F32" i="6"/>
  <c r="E32" i="6"/>
  <c r="F31" i="6"/>
  <c r="E31" i="6"/>
  <c r="E16" i="6"/>
  <c r="F16" i="6"/>
  <c r="E15" i="6"/>
  <c r="F15" i="6"/>
  <c r="E14" i="6"/>
  <c r="F14" i="6"/>
  <c r="F13" i="6"/>
  <c r="E13" i="6"/>
  <c r="F30" i="6"/>
  <c r="E30" i="6"/>
  <c r="F29" i="6"/>
  <c r="E29" i="6"/>
  <c r="G29" i="6" s="1"/>
  <c r="H29" i="6" s="1"/>
  <c r="F28" i="6"/>
  <c r="E28" i="6"/>
  <c r="F27" i="6"/>
  <c r="E27" i="6"/>
  <c r="F26" i="6"/>
  <c r="E26" i="6"/>
  <c r="F25" i="6"/>
  <c r="E25" i="6"/>
  <c r="F24" i="6"/>
  <c r="E24" i="6"/>
  <c r="F12" i="6"/>
  <c r="E12" i="6"/>
  <c r="F11" i="6"/>
  <c r="E11" i="6"/>
  <c r="F10" i="6"/>
  <c r="E10" i="6"/>
  <c r="F9" i="6"/>
  <c r="E9" i="6"/>
  <c r="F8" i="6"/>
  <c r="E8" i="6"/>
  <c r="F7" i="6"/>
  <c r="E7" i="6"/>
  <c r="K33" i="6" l="1"/>
  <c r="K16" i="6"/>
  <c r="K50" i="6"/>
  <c r="K4" i="6"/>
  <c r="K8" i="6"/>
  <c r="K12" i="6"/>
  <c r="K24" i="6"/>
  <c r="K28" i="6"/>
  <c r="K32" i="6"/>
  <c r="K41" i="6"/>
  <c r="K45" i="6"/>
  <c r="K49" i="6"/>
  <c r="J40" i="6"/>
  <c r="J44" i="6"/>
  <c r="J48" i="6"/>
  <c r="J22" i="6"/>
  <c r="J26" i="6"/>
  <c r="J30" i="6"/>
  <c r="J21" i="6"/>
  <c r="J11" i="6"/>
  <c r="J15" i="6"/>
  <c r="J6" i="6"/>
  <c r="J16" i="6"/>
  <c r="K11" i="6"/>
  <c r="K15" i="6"/>
  <c r="K31" i="6"/>
  <c r="K44" i="6"/>
  <c r="J39" i="6"/>
  <c r="J38" i="6"/>
  <c r="J29" i="6"/>
  <c r="J14" i="6"/>
  <c r="K5" i="6"/>
  <c r="K9" i="6"/>
  <c r="K13" i="6"/>
  <c r="K21" i="6"/>
  <c r="K25" i="6"/>
  <c r="K29" i="6"/>
  <c r="K42" i="6"/>
  <c r="K46" i="6"/>
  <c r="J41" i="6"/>
  <c r="J45" i="6"/>
  <c r="L45" i="6" s="1"/>
  <c r="M45" i="6" s="1"/>
  <c r="J49" i="6"/>
  <c r="J23" i="6"/>
  <c r="J27" i="6"/>
  <c r="J31" i="6"/>
  <c r="J8" i="6"/>
  <c r="J12" i="6"/>
  <c r="J7" i="6"/>
  <c r="K27" i="6"/>
  <c r="J47" i="6"/>
  <c r="J10" i="6"/>
  <c r="K6" i="6"/>
  <c r="K10" i="6"/>
  <c r="K14" i="6"/>
  <c r="K22" i="6"/>
  <c r="K26" i="6"/>
  <c r="K30" i="6"/>
  <c r="K39" i="6"/>
  <c r="K43" i="6"/>
  <c r="K47" i="6"/>
  <c r="K38" i="6"/>
  <c r="J42" i="6"/>
  <c r="J46" i="6"/>
  <c r="J50" i="6"/>
  <c r="J24" i="6"/>
  <c r="J28" i="6"/>
  <c r="J32" i="6"/>
  <c r="J9" i="6"/>
  <c r="J13" i="6"/>
  <c r="J4" i="6"/>
  <c r="K7" i="6"/>
  <c r="K23" i="6"/>
  <c r="K40" i="6"/>
  <c r="K48" i="6"/>
  <c r="J43" i="6"/>
  <c r="J25" i="6"/>
  <c r="J33" i="6"/>
  <c r="J5" i="6"/>
  <c r="G16" i="6"/>
  <c r="H16" i="6" s="1"/>
  <c r="I16" i="6" s="1"/>
  <c r="G10" i="6"/>
  <c r="H10" i="6" s="1"/>
  <c r="I10" i="6" s="1"/>
  <c r="G25" i="6"/>
  <c r="H25" i="6" s="1"/>
  <c r="I25" i="6" s="1"/>
  <c r="G15" i="6"/>
  <c r="H15" i="6" s="1"/>
  <c r="I15" i="6" s="1"/>
  <c r="G11" i="6"/>
  <c r="H11" i="6" s="1"/>
  <c r="I11" i="6" s="1"/>
  <c r="G24" i="6"/>
  <c r="I24" i="6" s="1"/>
  <c r="G26" i="6"/>
  <c r="H26" i="6" s="1"/>
  <c r="I26" i="6" s="1"/>
  <c r="G30" i="6"/>
  <c r="H30" i="6" s="1"/>
  <c r="I30" i="6" s="1"/>
  <c r="L29" i="8"/>
  <c r="J30" i="8"/>
  <c r="L28" i="8"/>
  <c r="J12" i="8"/>
  <c r="G31" i="6"/>
  <c r="H31" i="6" s="1"/>
  <c r="I31" i="6" s="1"/>
  <c r="G32" i="6"/>
  <c r="H32" i="6" s="1"/>
  <c r="I32" i="6" s="1"/>
  <c r="G27" i="6"/>
  <c r="G28" i="6"/>
  <c r="H28" i="6" s="1"/>
  <c r="I28" i="6" s="1"/>
  <c r="I29" i="6"/>
  <c r="G14" i="6"/>
  <c r="H14" i="6" s="1"/>
  <c r="I14" i="6" s="1"/>
  <c r="G13" i="6"/>
  <c r="H13" i="6" s="1"/>
  <c r="I13" i="6" s="1"/>
  <c r="G12" i="6"/>
  <c r="H12" i="6" s="1"/>
  <c r="I12" i="6" s="1"/>
  <c r="G9" i="6"/>
  <c r="H9" i="6" s="1"/>
  <c r="I9" i="6" s="1"/>
  <c r="G8" i="6"/>
  <c r="H8" i="6" s="1"/>
  <c r="I8" i="6" s="1"/>
  <c r="G7" i="6"/>
  <c r="I7" i="6" s="1"/>
  <c r="L49" i="6" l="1"/>
  <c r="M49" i="6" s="1"/>
  <c r="L31" i="6"/>
  <c r="M31" i="6" s="1"/>
  <c r="N31" i="6" s="1"/>
  <c r="L16" i="6"/>
  <c r="M16" i="6" s="1"/>
  <c r="L47" i="6"/>
  <c r="M47" i="6" s="1"/>
  <c r="L43" i="6"/>
  <c r="M43" i="6" s="1"/>
  <c r="L44" i="6"/>
  <c r="M44" i="6" s="1"/>
  <c r="L38" i="6"/>
  <c r="M38" i="6" s="1"/>
  <c r="L46" i="6"/>
  <c r="M46" i="6" s="1"/>
  <c r="L23" i="6"/>
  <c r="M23" i="6" s="1"/>
  <c r="N23" i="6" s="1"/>
  <c r="P23" i="6" s="1"/>
  <c r="L4" i="6"/>
  <c r="M4" i="6" s="1"/>
  <c r="L41" i="6"/>
  <c r="M41" i="6" s="1"/>
  <c r="L39" i="6"/>
  <c r="M39" i="6" s="1"/>
  <c r="L40" i="6"/>
  <c r="M40" i="6" s="1"/>
  <c r="L48" i="6"/>
  <c r="M48" i="6" s="1"/>
  <c r="L42" i="6"/>
  <c r="M42" i="6" s="1"/>
  <c r="L50" i="6"/>
  <c r="M50" i="6" s="1"/>
  <c r="L21" i="6"/>
  <c r="M21" i="6" s="1"/>
  <c r="L5" i="6"/>
  <c r="M5" i="6" s="1"/>
  <c r="L22" i="6"/>
  <c r="M22" i="6" s="1"/>
  <c r="N22" i="6" s="1"/>
  <c r="L6" i="6"/>
  <c r="M6" i="6" s="1"/>
  <c r="L33" i="6"/>
  <c r="M33" i="6" s="1"/>
  <c r="N33" i="6" s="1"/>
  <c r="L29" i="6"/>
  <c r="M29" i="6" s="1"/>
  <c r="N29" i="6" s="1"/>
  <c r="L7" i="6"/>
  <c r="M7" i="6" s="1"/>
  <c r="J31" i="8"/>
  <c r="L31" i="8" s="1"/>
  <c r="L30" i="8"/>
  <c r="L12" i="8"/>
  <c r="J13" i="8"/>
  <c r="L9" i="6"/>
  <c r="M9" i="6" s="1"/>
  <c r="L10" i="6"/>
  <c r="M10" i="6" s="1"/>
  <c r="L26" i="6"/>
  <c r="M26" i="6" s="1"/>
  <c r="N26" i="6" s="1"/>
  <c r="L28" i="6"/>
  <c r="M28" i="6" s="1"/>
  <c r="L24" i="6"/>
  <c r="M24" i="6" s="1"/>
  <c r="N24" i="6" s="1"/>
  <c r="L30" i="6"/>
  <c r="M30" i="6" s="1"/>
  <c r="N30" i="6" s="1"/>
  <c r="L25" i="6"/>
  <c r="M25" i="6" s="1"/>
  <c r="L11" i="6"/>
  <c r="M11" i="6" s="1"/>
  <c r="L8" i="6"/>
  <c r="M8" i="6" s="1"/>
  <c r="L32" i="6"/>
  <c r="M32" i="6" s="1"/>
  <c r="L27" i="6"/>
  <c r="M27" i="6" s="1"/>
  <c r="N27" i="6" s="1"/>
  <c r="L14" i="6"/>
  <c r="M14" i="6" s="1"/>
  <c r="L13" i="6"/>
  <c r="M13" i="6" s="1"/>
  <c r="L12" i="6"/>
  <c r="M12" i="6" s="1"/>
  <c r="L15" i="6"/>
  <c r="M15" i="6" s="1"/>
  <c r="H27" i="6"/>
  <c r="I27" i="6" s="1"/>
  <c r="N21" i="6" l="1"/>
  <c r="O21" i="6" s="1"/>
  <c r="M19" i="6"/>
  <c r="B16" i="3" s="1"/>
  <c r="O23" i="6"/>
  <c r="M36" i="6"/>
  <c r="B5" i="3" s="1"/>
  <c r="M2" i="6"/>
  <c r="B6" i="3" s="1"/>
  <c r="P22" i="6"/>
  <c r="O22" i="6"/>
  <c r="J14" i="8"/>
  <c r="L14" i="8" s="1"/>
  <c r="L13" i="8"/>
  <c r="N28" i="6"/>
  <c r="P28" i="6" s="1"/>
  <c r="N25" i="6"/>
  <c r="N32" i="6"/>
  <c r="O32" i="6" s="1"/>
  <c r="M18" i="6"/>
  <c r="P30" i="6"/>
  <c r="O31" i="6"/>
  <c r="P31" i="6"/>
  <c r="O29" i="6"/>
  <c r="P29" i="6"/>
  <c r="O26" i="6"/>
  <c r="P26" i="6"/>
  <c r="P27" i="6"/>
  <c r="O27" i="6"/>
  <c r="P33" i="6"/>
  <c r="O33" i="6"/>
  <c r="P24" i="6"/>
  <c r="O24" i="6"/>
  <c r="O28" i="4"/>
  <c r="P28" i="4"/>
  <c r="O29" i="4"/>
  <c r="P29" i="4"/>
  <c r="O30" i="4"/>
  <c r="P30" i="4"/>
  <c r="O31" i="4"/>
  <c r="P31" i="4"/>
  <c r="O32" i="4"/>
  <c r="P32" i="4"/>
  <c r="P27" i="4"/>
  <c r="O27" i="4"/>
  <c r="B2" i="4"/>
  <c r="E8" i="4" s="1"/>
  <c r="L28" i="4"/>
  <c r="M28" i="4" s="1"/>
  <c r="L29" i="4"/>
  <c r="M29" i="4" s="1"/>
  <c r="L30" i="4"/>
  <c r="M30" i="4" s="1"/>
  <c r="L31" i="4"/>
  <c r="M31" i="4" s="1"/>
  <c r="L32" i="4"/>
  <c r="M32" i="4" s="1"/>
  <c r="L27" i="4"/>
  <c r="M27" i="4" s="1"/>
  <c r="F14" i="4"/>
  <c r="F13" i="4"/>
  <c r="F12" i="4"/>
  <c r="F11" i="4"/>
  <c r="F10" i="4"/>
  <c r="F9" i="4"/>
  <c r="B14" i="4"/>
  <c r="B13" i="4"/>
  <c r="B12" i="4"/>
  <c r="B11" i="4"/>
  <c r="B10" i="4"/>
  <c r="B9" i="4"/>
  <c r="B8" i="4"/>
  <c r="B7" i="4"/>
  <c r="B14" i="3" l="1"/>
  <c r="E16" i="3"/>
  <c r="E6" i="3"/>
  <c r="B15" i="3"/>
  <c r="P21" i="6"/>
  <c r="O28" i="6"/>
  <c r="N19" i="6"/>
  <c r="O25" i="6"/>
  <c r="P25" i="6"/>
  <c r="P32" i="6"/>
  <c r="O30" i="6"/>
  <c r="H17" i="4"/>
  <c r="H18" i="4"/>
  <c r="H16" i="4"/>
  <c r="H15" i="4"/>
  <c r="H8" i="4"/>
  <c r="J8" i="4" s="1"/>
  <c r="H9" i="4"/>
  <c r="L9" i="4" s="1"/>
  <c r="H13" i="4"/>
  <c r="L13" i="4" s="1"/>
  <c r="H6" i="4"/>
  <c r="I6" i="4" s="1"/>
  <c r="H7" i="4"/>
  <c r="L7" i="4" s="1"/>
  <c r="H11" i="4"/>
  <c r="L11" i="4" s="1"/>
  <c r="F8" i="4"/>
  <c r="H12" i="4"/>
  <c r="L12" i="4" s="1"/>
  <c r="G8" i="4"/>
  <c r="H10" i="4"/>
  <c r="L10" i="4" s="1"/>
  <c r="H14" i="4"/>
  <c r="L14" i="4" s="1"/>
  <c r="P19" i="6" l="1"/>
  <c r="B7" i="3"/>
  <c r="O19" i="6"/>
  <c r="L15" i="4"/>
  <c r="I15" i="4"/>
  <c r="J15" i="4"/>
  <c r="K15" i="4"/>
  <c r="L16" i="4"/>
  <c r="I16" i="4"/>
  <c r="L18" i="4"/>
  <c r="I18" i="4"/>
  <c r="J18" i="4"/>
  <c r="L17" i="4"/>
  <c r="J17" i="4"/>
  <c r="K17" i="4"/>
  <c r="I17" i="4"/>
  <c r="I7" i="4"/>
  <c r="I11" i="4"/>
  <c r="I8" i="4"/>
  <c r="K13" i="4"/>
  <c r="K8" i="4"/>
  <c r="J7" i="4"/>
  <c r="I9" i="4"/>
  <c r="J9" i="4"/>
  <c r="J10" i="4"/>
  <c r="K9" i="4"/>
  <c r="I14" i="4"/>
  <c r="J14" i="4"/>
  <c r="I13" i="4"/>
  <c r="I10" i="4"/>
  <c r="J11" i="4"/>
  <c r="K11" i="4"/>
  <c r="I12" i="4"/>
  <c r="J13" i="4"/>
  <c r="J12" i="4"/>
  <c r="K12" i="4"/>
  <c r="K6" i="4"/>
  <c r="J6" i="4"/>
  <c r="L6" i="4"/>
  <c r="K10" i="4"/>
  <c r="K14" i="4"/>
  <c r="K7" i="4"/>
  <c r="L8" i="4"/>
  <c r="I20" i="4" l="1"/>
  <c r="B9" i="3"/>
  <c r="E7" i="3"/>
  <c r="B10" i="3"/>
  <c r="B11" i="3" s="1"/>
  <c r="B8" i="3"/>
  <c r="E8" i="3" s="1"/>
  <c r="I21" i="4"/>
  <c r="E22" i="3" s="1"/>
  <c r="J21" i="4"/>
  <c r="E23" i="3" s="1"/>
  <c r="B22" i="3"/>
  <c r="I4" i="4"/>
  <c r="E14" i="3" s="1"/>
  <c r="L4" i="4"/>
  <c r="K4" i="4"/>
  <c r="J4" i="4"/>
  <c r="E9" i="3" l="1"/>
  <c r="E5" i="3"/>
  <c r="E10" i="3" s="1"/>
  <c r="E11" i="3" s="1"/>
  <c r="E16" i="4"/>
  <c r="J16" i="4" s="1"/>
  <c r="J20" i="4" s="1"/>
  <c r="B23" i="3" s="1"/>
  <c r="F18" i="4"/>
  <c r="K18" i="4" s="1"/>
  <c r="K21" i="4" s="1"/>
  <c r="E24" i="3" s="1"/>
  <c r="F16" i="4"/>
  <c r="K16" i="4" s="1"/>
  <c r="K20" i="4" s="1"/>
  <c r="B24" i="3" s="1"/>
  <c r="B25" i="3" l="1"/>
  <c r="B26" i="3" s="1"/>
  <c r="B17" i="3"/>
  <c r="B18" i="3" s="1"/>
  <c r="E15" i="3"/>
  <c r="E17" i="3" l="1"/>
  <c r="E18" i="3" s="1"/>
  <c r="E25" i="3"/>
  <c r="E26" i="3" s="1"/>
</calcChain>
</file>

<file path=xl/sharedStrings.xml><?xml version="1.0" encoding="utf-8"?>
<sst xmlns="http://schemas.openxmlformats.org/spreadsheetml/2006/main" count="270" uniqueCount="114">
  <si>
    <t>(*) Calculado sobre o conteúdo econômico da demanda. Sendo o caso, o valor deverá ser complementado quando o valor da demanda for fixado no Termo de Arbitragem.</t>
  </si>
  <si>
    <t>120 h para o presidente, 100 h para demais</t>
  </si>
  <si>
    <t>a partir de R$ 15.000.000,01</t>
  </si>
  <si>
    <t>V</t>
  </si>
  <si>
    <t>entre R$ 5.000.000,01 e R$ 15.000.000,00</t>
  </si>
  <si>
    <t>IV</t>
  </si>
  <si>
    <t>entre R$ 2.500.000,01 e R$ 5.000.000,00</t>
  </si>
  <si>
    <t>2%  (*)</t>
  </si>
  <si>
    <t>III</t>
  </si>
  <si>
    <t>II</t>
  </si>
  <si>
    <t>Integral</t>
  </si>
  <si>
    <t>I</t>
  </si>
  <si>
    <t>Depósito inicial de honorários arbitrais</t>
  </si>
  <si>
    <t>Honorários do Árbitro Presidente</t>
  </si>
  <si>
    <t>Honorários do Tribunal Arbitral (Total)</t>
  </si>
  <si>
    <t>Administração</t>
  </si>
  <si>
    <t>Taxa de Registro</t>
  </si>
  <si>
    <t>Faixa</t>
  </si>
  <si>
    <t>Três Árbitros</t>
  </si>
  <si>
    <t>Depósito inicial de honorários</t>
  </si>
  <si>
    <t>Honorários do Árbitro Único</t>
  </si>
  <si>
    <t>Árbitro Único</t>
  </si>
  <si>
    <t>Tabela de Custas e Honorários Arbitrais</t>
  </si>
  <si>
    <t>até R$ 75.000,00</t>
  </si>
  <si>
    <t>entre R$ 75.000,01 e R$ 150.000,00</t>
  </si>
  <si>
    <t>entre R$ 1.200.000,01 e R$ 2.500.000,00</t>
  </si>
  <si>
    <t>Arbitragem Simplificada de Pequeno Valor</t>
  </si>
  <si>
    <t>até R$ 45.000,00</t>
  </si>
  <si>
    <t>n/a</t>
  </si>
  <si>
    <t>Valor da Demanda</t>
  </si>
  <si>
    <t xml:space="preserve">Tabela de Custas e Honorários Arbitrais </t>
  </si>
  <si>
    <t>R$ 350/h</t>
  </si>
  <si>
    <t>R$ 400/h</t>
  </si>
  <si>
    <t>R$ 500/h</t>
  </si>
  <si>
    <t>R$ 525/h</t>
  </si>
  <si>
    <t>R$ 700/h</t>
  </si>
  <si>
    <t>R$ 600/h</t>
  </si>
  <si>
    <t>entre R$ 150.000,01 e R$ 500.000,00</t>
  </si>
  <si>
    <t>entre R$ 500.000,01 e R$ 800.000,00</t>
  </si>
  <si>
    <t>entre R$ 800.000,01 e R$ 1.200.000,00</t>
  </si>
  <si>
    <t>13% (*)</t>
  </si>
  <si>
    <t>5%(*)</t>
  </si>
  <si>
    <t>65 h para o presidente,  50 h para demais</t>
  </si>
  <si>
    <t>70 h para o presidente, 55 h para demais</t>
  </si>
  <si>
    <t>80 h para o presidente, 70 h para demais</t>
  </si>
  <si>
    <t>100 h para o presidente, 90 h para demais</t>
  </si>
  <si>
    <t>90 h para o presidente, 80 h para demais</t>
  </si>
  <si>
    <t>Os honorários mínimos serão, em qualquer hipótese, 50% do depósito inicial de honorários arbitrais. Quando os honorários forem calculados por hora, os honorários máximos serão o dobro do depósito inicial de honorários arbitrais.</t>
  </si>
  <si>
    <t>Natureza do Procedimento</t>
  </si>
  <si>
    <t>Reservado</t>
  </si>
  <si>
    <t>Público</t>
  </si>
  <si>
    <t>entre R$ 45.000,01 e 150.000,00</t>
  </si>
  <si>
    <t>Nota: Não se aplicam à tabela de arbitragem simplificada os descontos de Associados Mantenedores devidos na Tabela Comum</t>
  </si>
  <si>
    <t>100% da tabela geral</t>
  </si>
  <si>
    <t>85% da tabela geral</t>
  </si>
  <si>
    <t>90% da tabela geral</t>
  </si>
  <si>
    <t>Tribunal</t>
  </si>
  <si>
    <t>TEST1</t>
  </si>
  <si>
    <t>registro</t>
  </si>
  <si>
    <t>adm</t>
  </si>
  <si>
    <t>unico</t>
  </si>
  <si>
    <t>trib</t>
  </si>
  <si>
    <t>Registro</t>
  </si>
  <si>
    <t>Honorários</t>
  </si>
  <si>
    <t>Total</t>
  </si>
  <si>
    <t>Reserva</t>
  </si>
  <si>
    <t>Publ</t>
  </si>
  <si>
    <t>&lt;----</t>
  </si>
  <si>
    <t>Informe aqui o valor da demanda</t>
  </si>
  <si>
    <t>Valor da demanda:</t>
  </si>
  <si>
    <t>Previsão de Horas</t>
  </si>
  <si>
    <t>Causa Inicial</t>
  </si>
  <si>
    <t>Causa Final</t>
  </si>
  <si>
    <t>Preço Inicial</t>
  </si>
  <si>
    <t>Preço final</t>
  </si>
  <si>
    <t>D Preço</t>
  </si>
  <si>
    <t>D Causa</t>
  </si>
  <si>
    <t>Percentual</t>
  </si>
  <si>
    <t>+</t>
  </si>
  <si>
    <t>entre R$ 500.000,01 e R$ 750.000,00</t>
  </si>
  <si>
    <t>entre R$ 750.000,01 e R$ 1.250.000,00</t>
  </si>
  <si>
    <t>entre R$ 1.250.000,01 e R$ 2.500.000,00</t>
  </si>
  <si>
    <t>entre R$ 5.000.000,01 e R$ 10.000.000,00</t>
  </si>
  <si>
    <t>entre R$ 10.000.000,01 e R$ 20.000.000,00</t>
  </si>
  <si>
    <t>entre R$ 20.000.000,01 e R$ 40.000.000,00</t>
  </si>
  <si>
    <t>entre R$ 40.000.000,01 e R$ 90.000.000,00</t>
  </si>
  <si>
    <t>entre R$ 90.000.000,01 e R$ 150.000.000,00</t>
  </si>
  <si>
    <t>VI</t>
  </si>
  <si>
    <t>VII</t>
  </si>
  <si>
    <t>VIII</t>
  </si>
  <si>
    <t>IX</t>
  </si>
  <si>
    <t>X</t>
  </si>
  <si>
    <t>XI</t>
  </si>
  <si>
    <t>a partir de  R$ 150.000.000,01</t>
  </si>
  <si>
    <t>a</t>
  </si>
  <si>
    <t>XII</t>
  </si>
  <si>
    <t>(*) Todos os percentuais são calculados sobre o conteúdo econômico da demanda. Sendo o caso, o valor deverá ser complementado quando o valor da demanda for fixado no Termo de Arbitragem.</t>
  </si>
  <si>
    <t>Valor Econômico da Demanda</t>
  </si>
  <si>
    <t xml:space="preserve">Três Árbitros </t>
  </si>
  <si>
    <t>2,4 x (tabela de Árbitro único)</t>
  </si>
  <si>
    <t>Honorários**</t>
  </si>
  <si>
    <t xml:space="preserve">(**) Honorários totais do tribunal serão equivalentes ao valor devido ao Árbitro Único na mesma faixa, multiplicado por 2,4 (dois virgula quatro). De tal valor total, 37,5% serão devidos ao árbitro presidente e 31,25% a cada um dos coárbitros. A previsão de horas é, neste caso, de cada um dos árbitros. </t>
  </si>
  <si>
    <t>ADMINISTRAÇÃO</t>
  </si>
  <si>
    <t>ÁRBITRO ÚNICO</t>
  </si>
  <si>
    <t>REGISTRO</t>
  </si>
  <si>
    <t>Honorários Totais</t>
  </si>
  <si>
    <t>Árbitro Presidente</t>
  </si>
  <si>
    <t>Có-Arbitros</t>
  </si>
  <si>
    <t>Custo Efetivo</t>
  </si>
  <si>
    <t xml:space="preserve">Simplificada (Reservado) </t>
  </si>
  <si>
    <r>
      <t>Simplificada (Pública) (</t>
    </r>
    <r>
      <rPr>
        <i/>
        <sz val="11"/>
        <color theme="1"/>
        <rFont val="Calibri"/>
        <family val="2"/>
        <scheme val="minor"/>
      </rPr>
      <t>para associados mantenedores</t>
    </r>
    <r>
      <rPr>
        <sz val="11"/>
        <color theme="1"/>
        <rFont val="Calibri"/>
        <family val="2"/>
        <scheme val="minor"/>
      </rPr>
      <t>)</t>
    </r>
  </si>
  <si>
    <r>
      <t xml:space="preserve">Árbitro Único  </t>
    </r>
    <r>
      <rPr>
        <i/>
        <sz val="11"/>
        <color theme="1"/>
        <rFont val="Calibri"/>
        <family val="2"/>
        <scheme val="minor"/>
      </rPr>
      <t>(para associados mantenedores)</t>
    </r>
  </si>
  <si>
    <r>
      <t xml:space="preserve">Três Árbitros  </t>
    </r>
    <r>
      <rPr>
        <i/>
        <sz val="11"/>
        <color theme="1"/>
        <rFont val="Calibri"/>
        <family val="2"/>
        <scheme val="minor"/>
      </rPr>
      <t>(para associados mantenedores*)</t>
    </r>
  </si>
  <si>
    <t>*São Associados Mantenedores da CAMNORTE atualmente FIEAM, SINETRAM e OAB/AM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</si>
</sst>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%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2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0" applyNumberFormat="0" applyBorder="0" applyAlignment="0" applyProtection="0"/>
  </cellStyleXfs>
  <cellXfs count="209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/>
    </xf>
    <xf numFmtId="44" fontId="0" fillId="7" borderId="1" xfId="1" applyFont="1" applyFill="1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8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44" fontId="0" fillId="8" borderId="1" xfId="1" applyFont="1" applyFill="1" applyBorder="1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8" fontId="0" fillId="9" borderId="1" xfId="0" applyNumberFormat="1" applyFill="1" applyBorder="1" applyAlignment="1">
      <alignment horizontal="center"/>
    </xf>
    <xf numFmtId="44" fontId="0" fillId="9" borderId="1" xfId="1" applyFont="1" applyFill="1" applyBorder="1"/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7" borderId="1" xfId="1" applyFont="1" applyFill="1" applyBorder="1" applyAlignment="1">
      <alignment horizont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10" borderId="0" xfId="1" applyFont="1" applyFill="1"/>
    <xf numFmtId="44" fontId="0" fillId="11" borderId="0" xfId="1" applyFont="1" applyFill="1"/>
    <xf numFmtId="44" fontId="0" fillId="12" borderId="0" xfId="1" applyFont="1" applyFill="1"/>
    <xf numFmtId="44" fontId="0" fillId="13" borderId="0" xfId="1" applyFont="1" applyFill="1"/>
    <xf numFmtId="44" fontId="0" fillId="6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10" borderId="0" xfId="1" applyFont="1" applyFill="1" applyAlignment="1">
      <alignment horizontal="center"/>
    </xf>
    <xf numFmtId="44" fontId="0" fillId="13" borderId="0" xfId="1" applyFont="1" applyFill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7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 wrapText="1"/>
    </xf>
    <xf numFmtId="44" fontId="0" fillId="6" borderId="1" xfId="1" applyFon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44" fontId="0" fillId="9" borderId="0" xfId="1" applyFont="1" applyFill="1"/>
    <xf numFmtId="44" fontId="0" fillId="14" borderId="0" xfId="1" applyFont="1" applyFill="1"/>
    <xf numFmtId="44" fontId="0" fillId="15" borderId="0" xfId="1" applyFont="1" applyFill="1"/>
    <xf numFmtId="44" fontId="0" fillId="16" borderId="0" xfId="1" applyFont="1" applyFill="1"/>
    <xf numFmtId="0" fontId="0" fillId="12" borderId="0" xfId="0" applyFill="1" applyAlignment="1">
      <alignment horizontal="right"/>
    </xf>
    <xf numFmtId="0" fontId="0" fillId="14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16" borderId="0" xfId="0" applyFill="1" applyAlignment="1">
      <alignment horizontal="right"/>
    </xf>
    <xf numFmtId="0" fontId="0" fillId="15" borderId="0" xfId="0" applyFill="1" applyAlignment="1">
      <alignment horizontal="right"/>
    </xf>
    <xf numFmtId="0" fontId="0" fillId="11" borderId="0" xfId="0" applyFill="1" applyAlignment="1">
      <alignment horizontal="right"/>
    </xf>
    <xf numFmtId="44" fontId="0" fillId="14" borderId="0" xfId="1" applyFont="1" applyFill="1" applyAlignment="1">
      <alignment horizontal="center"/>
    </xf>
    <xf numFmtId="0" fontId="0" fillId="12" borderId="3" xfId="0" applyFill="1" applyBorder="1" applyAlignment="1">
      <alignment horizontal="right"/>
    </xf>
    <xf numFmtId="44" fontId="3" fillId="12" borderId="3" xfId="1" applyFont="1" applyFill="1" applyBorder="1"/>
    <xf numFmtId="0" fontId="3" fillId="14" borderId="3" xfId="0" applyFont="1" applyFill="1" applyBorder="1" applyAlignment="1">
      <alignment horizontal="right"/>
    </xf>
    <xf numFmtId="44" fontId="3" fillId="14" borderId="3" xfId="1" applyFont="1" applyFill="1" applyBorder="1"/>
    <xf numFmtId="0" fontId="3" fillId="16" borderId="3" xfId="0" applyFont="1" applyFill="1" applyBorder="1" applyAlignment="1">
      <alignment horizontal="right"/>
    </xf>
    <xf numFmtId="44" fontId="3" fillId="16" borderId="3" xfId="1" applyFont="1" applyFill="1" applyBorder="1"/>
    <xf numFmtId="0" fontId="3" fillId="15" borderId="3" xfId="0" applyFont="1" applyFill="1" applyBorder="1" applyAlignment="1">
      <alignment horizontal="right"/>
    </xf>
    <xf numFmtId="44" fontId="3" fillId="15" borderId="3" xfId="1" applyFont="1" applyFill="1" applyBorder="1"/>
    <xf numFmtId="0" fontId="3" fillId="9" borderId="3" xfId="0" applyFont="1" applyFill="1" applyBorder="1" applyAlignment="1">
      <alignment horizontal="right"/>
    </xf>
    <xf numFmtId="44" fontId="3" fillId="9" borderId="3" xfId="1" applyFont="1" applyFill="1" applyBorder="1"/>
    <xf numFmtId="0" fontId="3" fillId="11" borderId="3" xfId="0" applyFont="1" applyFill="1" applyBorder="1" applyAlignment="1">
      <alignment horizontal="right"/>
    </xf>
    <xf numFmtId="44" fontId="3" fillId="11" borderId="3" xfId="1" applyFont="1" applyFill="1" applyBorder="1"/>
    <xf numFmtId="0" fontId="0" fillId="3" borderId="6" xfId="0" applyFill="1" applyBorder="1"/>
    <xf numFmtId="44" fontId="0" fillId="4" borderId="5" xfId="1" applyFont="1" applyFill="1" applyBorder="1"/>
    <xf numFmtId="0" fontId="4" fillId="3" borderId="12" xfId="0" applyFont="1" applyFill="1" applyBorder="1"/>
    <xf numFmtId="0" fontId="4" fillId="3" borderId="7" xfId="0" applyFont="1" applyFill="1" applyBorder="1"/>
    <xf numFmtId="0" fontId="0" fillId="6" borderId="1" xfId="0" applyFill="1" applyBorder="1" applyAlignment="1">
      <alignment horizontal="center" vertical="center"/>
    </xf>
    <xf numFmtId="44" fontId="0" fillId="0" borderId="0" xfId="0" applyNumberFormat="1"/>
    <xf numFmtId="165" fontId="0" fillId="0" borderId="0" xfId="2" applyNumberFormat="1" applyFont="1"/>
    <xf numFmtId="44" fontId="5" fillId="0" borderId="0" xfId="1" applyFont="1"/>
    <xf numFmtId="165" fontId="5" fillId="0" borderId="0" xfId="2" applyNumberFormat="1" applyFont="1"/>
    <xf numFmtId="165" fontId="5" fillId="4" borderId="0" xfId="2" applyNumberFormat="1" applyFont="1" applyFill="1"/>
    <xf numFmtId="44" fontId="5" fillId="4" borderId="0" xfId="1" applyFont="1" applyFill="1"/>
    <xf numFmtId="0" fontId="5" fillId="0" borderId="0" xfId="1" applyNumberFormat="1" applyFont="1"/>
    <xf numFmtId="44" fontId="5" fillId="17" borderId="0" xfId="1" applyFont="1" applyFill="1"/>
    <xf numFmtId="44" fontId="0" fillId="6" borderId="4" xfId="1" applyFont="1" applyFill="1" applyBorder="1"/>
    <xf numFmtId="0" fontId="0" fillId="11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/>
    <xf numFmtId="8" fontId="0" fillId="16" borderId="1" xfId="0" applyNumberFormat="1" applyFill="1" applyBorder="1" applyAlignment="1">
      <alignment horizontal="center"/>
    </xf>
    <xf numFmtId="0" fontId="0" fillId="16" borderId="4" xfId="0" applyFill="1" applyBorder="1" applyAlignment="1">
      <alignment horizontal="right"/>
    </xf>
    <xf numFmtId="0" fontId="0" fillId="16" borderId="3" xfId="0" applyFill="1" applyBorder="1" applyAlignment="1">
      <alignment horizontal="center"/>
    </xf>
    <xf numFmtId="0" fontId="0" fillId="16" borderId="2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8" fontId="0" fillId="12" borderId="1" xfId="0" applyNumberFormat="1" applyFill="1" applyBorder="1" applyAlignment="1">
      <alignment horizontal="center"/>
    </xf>
    <xf numFmtId="0" fontId="0" fillId="12" borderId="4" xfId="0" applyFill="1" applyBorder="1" applyAlignment="1">
      <alignment horizontal="right"/>
    </xf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left"/>
    </xf>
    <xf numFmtId="44" fontId="0" fillId="6" borderId="4" xfId="1" applyFont="1" applyFill="1" applyBorder="1" applyAlignment="1">
      <alignment horizontal="right"/>
    </xf>
    <xf numFmtId="166" fontId="0" fillId="6" borderId="2" xfId="2" applyNumberFormat="1" applyFont="1" applyFill="1" applyBorder="1" applyAlignment="1">
      <alignment horizontal="left"/>
    </xf>
    <xf numFmtId="44" fontId="0" fillId="16" borderId="4" xfId="1" applyFont="1" applyFill="1" applyBorder="1" applyAlignment="1">
      <alignment horizontal="right"/>
    </xf>
    <xf numFmtId="166" fontId="0" fillId="16" borderId="2" xfId="2" applyNumberFormat="1" applyFont="1" applyFill="1" applyBorder="1" applyAlignment="1">
      <alignment horizontal="left"/>
    </xf>
    <xf numFmtId="44" fontId="0" fillId="12" borderId="4" xfId="1" applyFont="1" applyFill="1" applyBorder="1" applyAlignment="1">
      <alignment horizontal="right"/>
    </xf>
    <xf numFmtId="166" fontId="0" fillId="12" borderId="2" xfId="2" applyNumberFormat="1" applyFont="1" applyFill="1" applyBorder="1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8" fontId="0" fillId="13" borderId="1" xfId="0" applyNumberFormat="1" applyFill="1" applyBorder="1" applyAlignment="1">
      <alignment horizontal="center"/>
    </xf>
    <xf numFmtId="44" fontId="0" fillId="13" borderId="4" xfId="1" applyFont="1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166" fontId="0" fillId="13" borderId="2" xfId="2" applyNumberFormat="1" applyFont="1" applyFill="1" applyBorder="1" applyAlignment="1">
      <alignment horizontal="left"/>
    </xf>
    <xf numFmtId="10" fontId="0" fillId="13" borderId="2" xfId="2" applyNumberFormat="1" applyFont="1" applyFill="1" applyBorder="1" applyAlignment="1">
      <alignment horizontal="left"/>
    </xf>
    <xf numFmtId="0" fontId="0" fillId="13" borderId="4" xfId="0" applyFill="1" applyBorder="1" applyAlignment="1">
      <alignment horizontal="right"/>
    </xf>
    <xf numFmtId="0" fontId="0" fillId="13" borderId="2" xfId="0" applyFill="1" applyBorder="1" applyAlignment="1">
      <alignment horizontal="left"/>
    </xf>
    <xf numFmtId="10" fontId="0" fillId="16" borderId="2" xfId="2" applyNumberFormat="1" applyFont="1" applyFill="1" applyBorder="1" applyAlignment="1">
      <alignment horizontal="left"/>
    </xf>
    <xf numFmtId="44" fontId="0" fillId="6" borderId="3" xfId="1" applyFont="1" applyFill="1" applyBorder="1"/>
    <xf numFmtId="44" fontId="0" fillId="6" borderId="2" xfId="1" applyFont="1" applyFill="1" applyBorder="1"/>
    <xf numFmtId="9" fontId="0" fillId="16" borderId="4" xfId="0" applyNumberFormat="1" applyFill="1" applyBorder="1" applyAlignment="1">
      <alignment horizontal="right"/>
    </xf>
    <xf numFmtId="165" fontId="0" fillId="16" borderId="3" xfId="0" applyNumberFormat="1" applyFill="1" applyBorder="1"/>
    <xf numFmtId="165" fontId="0" fillId="16" borderId="2" xfId="0" applyNumberFormat="1" applyFill="1" applyBorder="1"/>
    <xf numFmtId="44" fontId="0" fillId="12" borderId="4" xfId="1" applyFont="1" applyFill="1" applyBorder="1" applyAlignment="1">
      <alignment vertical="center"/>
    </xf>
    <xf numFmtId="44" fontId="0" fillId="12" borderId="3" xfId="1" applyFont="1" applyFill="1" applyBorder="1" applyAlignment="1">
      <alignment vertical="center"/>
    </xf>
    <xf numFmtId="44" fontId="0" fillId="12" borderId="2" xfId="1" applyFont="1" applyFill="1" applyBorder="1" applyAlignment="1">
      <alignment vertical="center"/>
    </xf>
    <xf numFmtId="10" fontId="0" fillId="6" borderId="2" xfId="2" applyNumberFormat="1" applyFont="1" applyFill="1" applyBorder="1" applyAlignment="1">
      <alignment horizontal="left"/>
    </xf>
    <xf numFmtId="165" fontId="0" fillId="12" borderId="2" xfId="2" applyNumberFormat="1" applyFont="1" applyFill="1" applyBorder="1" applyAlignment="1">
      <alignment horizontal="left"/>
    </xf>
    <xf numFmtId="9" fontId="0" fillId="13" borderId="2" xfId="2" applyFont="1" applyFill="1" applyBorder="1" applyAlignment="1">
      <alignment horizontal="left"/>
    </xf>
    <xf numFmtId="44" fontId="0" fillId="13" borderId="4" xfId="1" applyFont="1" applyFill="1" applyBorder="1"/>
    <xf numFmtId="8" fontId="0" fillId="13" borderId="3" xfId="0" applyNumberFormat="1" applyFill="1" applyBorder="1"/>
    <xf numFmtId="8" fontId="0" fillId="13" borderId="2" xfId="0" applyNumberFormat="1" applyFill="1" applyBorder="1"/>
    <xf numFmtId="44" fontId="0" fillId="13" borderId="3" xfId="1" applyFont="1" applyFill="1" applyBorder="1"/>
    <xf numFmtId="44" fontId="0" fillId="13" borderId="2" xfId="1" applyFont="1" applyFill="1" applyBorder="1"/>
    <xf numFmtId="0" fontId="4" fillId="12" borderId="0" xfId="0" applyFont="1" applyFill="1" applyAlignment="1">
      <alignment horizontal="right"/>
    </xf>
    <xf numFmtId="44" fontId="4" fillId="12" borderId="0" xfId="1" applyFont="1" applyFill="1"/>
    <xf numFmtId="0" fontId="4" fillId="14" borderId="0" xfId="0" applyFont="1" applyFill="1" applyAlignment="1">
      <alignment horizontal="right"/>
    </xf>
    <xf numFmtId="44" fontId="4" fillId="14" borderId="0" xfId="1" applyFont="1" applyFill="1"/>
    <xf numFmtId="10" fontId="1" fillId="12" borderId="0" xfId="2" applyNumberFormat="1" applyFill="1"/>
    <xf numFmtId="10" fontId="1" fillId="14" borderId="0" xfId="2" applyNumberFormat="1" applyFill="1"/>
    <xf numFmtId="10" fontId="1" fillId="16" borderId="0" xfId="2" applyNumberFormat="1" applyFill="1"/>
    <xf numFmtId="10" fontId="1" fillId="15" borderId="0" xfId="2" applyNumberFormat="1" applyFill="1"/>
    <xf numFmtId="10" fontId="0" fillId="11" borderId="0" xfId="2" applyNumberFormat="1" applyFont="1" applyFill="1"/>
    <xf numFmtId="10" fontId="0" fillId="9" borderId="0" xfId="2" applyNumberFormat="1" applyFont="1" applyFill="1"/>
    <xf numFmtId="0" fontId="6" fillId="18" borderId="0" xfId="3"/>
    <xf numFmtId="0" fontId="6" fillId="18" borderId="15" xfId="3" applyBorder="1"/>
    <xf numFmtId="0" fontId="0" fillId="0" borderId="0" xfId="0" applyAlignment="1">
      <alignment horizontal="center"/>
    </xf>
    <xf numFmtId="0" fontId="0" fillId="11" borderId="4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164" fontId="0" fillId="11" borderId="4" xfId="0" applyNumberFormat="1" applyFill="1" applyBorder="1" applyAlignment="1">
      <alignment horizontal="center" vertical="center" wrapText="1"/>
    </xf>
    <xf numFmtId="164" fontId="0" fillId="11" borderId="3" xfId="0" applyNumberFormat="1" applyFill="1" applyBorder="1" applyAlignment="1">
      <alignment horizontal="center" vertical="center" wrapText="1"/>
    </xf>
    <xf numFmtId="164" fontId="0" fillId="11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16" borderId="4" xfId="0" applyNumberFormat="1" applyFill="1" applyBorder="1" applyAlignment="1">
      <alignment horizontal="center"/>
    </xf>
    <xf numFmtId="44" fontId="0" fillId="16" borderId="3" xfId="0" applyNumberFormat="1" applyFill="1" applyBorder="1" applyAlignment="1">
      <alignment horizontal="center"/>
    </xf>
    <xf numFmtId="44" fontId="0" fillId="16" borderId="2" xfId="0" applyNumberFormat="1" applyFill="1" applyBorder="1" applyAlignment="1">
      <alignment horizontal="center"/>
    </xf>
    <xf numFmtId="9" fontId="0" fillId="16" borderId="4" xfId="0" applyNumberFormat="1" applyFill="1" applyBorder="1" applyAlignment="1">
      <alignment horizontal="center"/>
    </xf>
    <xf numFmtId="9" fontId="0" fillId="16" borderId="3" xfId="0" applyNumberFormat="1" applyFill="1" applyBorder="1" applyAlignment="1">
      <alignment horizontal="center"/>
    </xf>
    <xf numFmtId="9" fontId="0" fillId="16" borderId="2" xfId="0" applyNumberForma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6" borderId="3" xfId="1" applyFont="1" applyFill="1" applyBorder="1" applyAlignment="1">
      <alignment horizontal="center"/>
    </xf>
    <xf numFmtId="44" fontId="0" fillId="6" borderId="2" xfId="1" applyFont="1" applyFill="1" applyBorder="1" applyAlignment="1">
      <alignment horizontal="center"/>
    </xf>
    <xf numFmtId="44" fontId="0" fillId="16" borderId="4" xfId="1" applyFont="1" applyFill="1" applyBorder="1" applyAlignment="1">
      <alignment horizontal="center"/>
    </xf>
    <xf numFmtId="44" fontId="0" fillId="16" borderId="3" xfId="1" applyFont="1" applyFill="1" applyBorder="1" applyAlignment="1">
      <alignment horizontal="center"/>
    </xf>
    <xf numFmtId="44" fontId="0" fillId="16" borderId="2" xfId="1" applyFont="1" applyFill="1" applyBorder="1" applyAlignment="1">
      <alignment horizontal="center"/>
    </xf>
    <xf numFmtId="44" fontId="0" fillId="12" borderId="4" xfId="1" applyFont="1" applyFill="1" applyBorder="1" applyAlignment="1">
      <alignment horizontal="center"/>
    </xf>
    <xf numFmtId="44" fontId="0" fillId="12" borderId="3" xfId="1" applyFont="1" applyFill="1" applyBorder="1" applyAlignment="1">
      <alignment horizontal="center"/>
    </xf>
    <xf numFmtId="44" fontId="0" fillId="12" borderId="2" xfId="1" applyFont="1" applyFill="1" applyBorder="1" applyAlignment="1">
      <alignment horizontal="center"/>
    </xf>
    <xf numFmtId="44" fontId="0" fillId="13" borderId="4" xfId="1" applyFon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0" fillId="13" borderId="2" xfId="1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44" fontId="0" fillId="6" borderId="4" xfId="0" applyNumberFormat="1" applyFill="1" applyBorder="1" applyAlignment="1">
      <alignment horizontal="center"/>
    </xf>
    <xf numFmtId="44" fontId="0" fillId="6" borderId="3" xfId="0" applyNumberFormat="1" applyFill="1" applyBorder="1" applyAlignment="1">
      <alignment horizontal="center"/>
    </xf>
    <xf numFmtId="44" fontId="0" fillId="6" borderId="2" xfId="0" applyNumberForma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2" borderId="1" xfId="1" applyFont="1" applyFill="1" applyBorder="1" applyAlignment="1">
      <alignment horizontal="left" wrapText="1"/>
    </xf>
    <xf numFmtId="44" fontId="0" fillId="7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44" fontId="0" fillId="6" borderId="3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4" borderId="4" xfId="1" applyFont="1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</cellXfs>
  <cellStyles count="4">
    <cellStyle name="Bom" xfId="3" builtinId="26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D1E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A594-7C09-4A41-8D25-21177A867989}">
  <dimension ref="A1:L39"/>
  <sheetViews>
    <sheetView tabSelected="1" zoomScaleNormal="100" workbookViewId="0">
      <selection activeCell="O15" sqref="O15"/>
    </sheetView>
  </sheetViews>
  <sheetFormatPr baseColWidth="10" defaultColWidth="8.83203125" defaultRowHeight="15" x14ac:dyDescent="0.2"/>
  <cols>
    <col min="1" max="1" width="5.5" style="18" bestFit="1" customWidth="1"/>
    <col min="2" max="2" width="35.83203125" customWidth="1"/>
    <col min="3" max="3" width="15.33203125" customWidth="1"/>
    <col min="4" max="4" width="14.5" customWidth="1"/>
    <col min="5" max="5" width="1.6640625" customWidth="1"/>
    <col min="6" max="6" width="7.5" style="74" bestFit="1" customWidth="1"/>
    <col min="7" max="7" width="15.83203125" customWidth="1"/>
    <col min="8" max="8" width="2.83203125" customWidth="1"/>
    <col min="9" max="9" width="6.83203125" style="74" customWidth="1"/>
    <col min="10" max="10" width="5.83203125" style="74" customWidth="1"/>
    <col min="11" max="11" width="3.5" style="74" customWidth="1"/>
    <col min="12" max="12" width="5.83203125" customWidth="1"/>
  </cols>
  <sheetData>
    <row r="1" spans="1:12" x14ac:dyDescent="0.2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spans="1:12" x14ac:dyDescent="0.2">
      <c r="B3" s="150" t="s">
        <v>21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s="13" customFormat="1" ht="16" x14ac:dyDescent="0.2">
      <c r="A4" s="82" t="s">
        <v>17</v>
      </c>
      <c r="B4" s="82" t="s">
        <v>97</v>
      </c>
      <c r="C4" s="82" t="s">
        <v>16</v>
      </c>
      <c r="D4" s="143" t="s">
        <v>15</v>
      </c>
      <c r="E4" s="144"/>
      <c r="F4" s="145"/>
      <c r="G4" s="143" t="s">
        <v>63</v>
      </c>
      <c r="H4" s="144"/>
      <c r="I4" s="145"/>
      <c r="J4" s="146" t="s">
        <v>70</v>
      </c>
      <c r="K4" s="147"/>
      <c r="L4" s="148"/>
    </row>
    <row r="5" spans="1:12" x14ac:dyDescent="0.2">
      <c r="A5" s="104">
        <v>0</v>
      </c>
      <c r="B5" s="105" t="s">
        <v>23</v>
      </c>
      <c r="C5" s="106">
        <v>1000</v>
      </c>
      <c r="D5" s="125">
        <v>1500</v>
      </c>
      <c r="E5" s="126"/>
      <c r="F5" s="127"/>
      <c r="G5" s="125">
        <v>4500</v>
      </c>
      <c r="H5" s="128"/>
      <c r="I5" s="129"/>
      <c r="J5" s="170" t="s">
        <v>28</v>
      </c>
      <c r="K5" s="171"/>
      <c r="L5" s="172"/>
    </row>
    <row r="6" spans="1:12" x14ac:dyDescent="0.2">
      <c r="A6" s="72" t="s">
        <v>11</v>
      </c>
      <c r="B6" s="10" t="s">
        <v>24</v>
      </c>
      <c r="C6" s="9">
        <v>1000</v>
      </c>
      <c r="D6" s="81">
        <v>2500</v>
      </c>
      <c r="E6" s="114"/>
      <c r="F6" s="115"/>
      <c r="G6" s="81">
        <v>7000</v>
      </c>
      <c r="H6" s="114"/>
      <c r="I6" s="115"/>
      <c r="J6" s="173" t="s">
        <v>28</v>
      </c>
      <c r="K6" s="174"/>
      <c r="L6" s="175"/>
    </row>
    <row r="7" spans="1:12" x14ac:dyDescent="0.2">
      <c r="A7" s="86" t="s">
        <v>9</v>
      </c>
      <c r="B7" s="87" t="s">
        <v>37</v>
      </c>
      <c r="C7" s="88">
        <v>2000</v>
      </c>
      <c r="D7" s="155">
        <v>0.02</v>
      </c>
      <c r="E7" s="156"/>
      <c r="F7" s="157"/>
      <c r="G7" s="116">
        <v>0.05</v>
      </c>
      <c r="H7" s="117"/>
      <c r="I7" s="118"/>
      <c r="J7" s="152" t="s">
        <v>28</v>
      </c>
      <c r="K7" s="153"/>
      <c r="L7" s="154"/>
    </row>
    <row r="8" spans="1:12" x14ac:dyDescent="0.2">
      <c r="A8" s="92" t="s">
        <v>8</v>
      </c>
      <c r="B8" s="93" t="s">
        <v>79</v>
      </c>
      <c r="C8" s="94">
        <v>2500</v>
      </c>
      <c r="D8" s="119">
        <v>10000</v>
      </c>
      <c r="E8" s="120"/>
      <c r="F8" s="121"/>
      <c r="G8" s="119">
        <v>25000</v>
      </c>
      <c r="H8" s="120"/>
      <c r="I8" s="121"/>
      <c r="J8" s="95">
        <v>50</v>
      </c>
      <c r="K8" s="96" t="s">
        <v>94</v>
      </c>
      <c r="L8" s="97">
        <v>100</v>
      </c>
    </row>
    <row r="9" spans="1:12" x14ac:dyDescent="0.2">
      <c r="A9" s="104" t="s">
        <v>5</v>
      </c>
      <c r="B9" s="105" t="s">
        <v>80</v>
      </c>
      <c r="C9" s="106">
        <v>3000</v>
      </c>
      <c r="D9" s="107">
        <v>2500</v>
      </c>
      <c r="E9" s="108" t="s">
        <v>78</v>
      </c>
      <c r="F9" s="124">
        <v>0.01</v>
      </c>
      <c r="G9" s="107">
        <v>17500</v>
      </c>
      <c r="H9" s="108" t="s">
        <v>78</v>
      </c>
      <c r="I9" s="124">
        <v>0.01</v>
      </c>
      <c r="J9" s="111">
        <v>55</v>
      </c>
      <c r="K9" s="108" t="s">
        <v>94</v>
      </c>
      <c r="L9" s="112">
        <v>110</v>
      </c>
    </row>
    <row r="10" spans="1:12" x14ac:dyDescent="0.2">
      <c r="A10" s="72" t="s">
        <v>3</v>
      </c>
      <c r="B10" s="10" t="s">
        <v>81</v>
      </c>
      <c r="C10" s="9">
        <v>5000</v>
      </c>
      <c r="D10" s="98">
        <v>7500</v>
      </c>
      <c r="E10" s="84" t="s">
        <v>78</v>
      </c>
      <c r="F10" s="99">
        <v>6.0000000000000001E-3</v>
      </c>
      <c r="G10" s="98">
        <v>15000</v>
      </c>
      <c r="H10" s="84" t="s">
        <v>78</v>
      </c>
      <c r="I10" s="99">
        <v>1.2E-2</v>
      </c>
      <c r="J10" s="83">
        <v>60</v>
      </c>
      <c r="K10" s="84" t="s">
        <v>94</v>
      </c>
      <c r="L10" s="85">
        <f t="shared" ref="L10:L17" si="0">J10*2</f>
        <v>120</v>
      </c>
    </row>
    <row r="11" spans="1:12" x14ac:dyDescent="0.2">
      <c r="A11" s="86" t="s">
        <v>87</v>
      </c>
      <c r="B11" s="87" t="s">
        <v>6</v>
      </c>
      <c r="C11" s="88">
        <v>7500</v>
      </c>
      <c r="D11" s="100">
        <v>15000</v>
      </c>
      <c r="E11" s="90" t="s">
        <v>78</v>
      </c>
      <c r="F11" s="101">
        <v>3.0000000000000001E-3</v>
      </c>
      <c r="G11" s="100">
        <v>15000</v>
      </c>
      <c r="H11" s="90" t="s">
        <v>78</v>
      </c>
      <c r="I11" s="101">
        <v>1.2E-2</v>
      </c>
      <c r="J11" s="89">
        <f t="shared" ref="J11:J14" si="1">J10+10</f>
        <v>70</v>
      </c>
      <c r="K11" s="90" t="s">
        <v>94</v>
      </c>
      <c r="L11" s="91">
        <f t="shared" si="0"/>
        <v>140</v>
      </c>
    </row>
    <row r="12" spans="1:12" x14ac:dyDescent="0.2">
      <c r="A12" s="92" t="s">
        <v>88</v>
      </c>
      <c r="B12" s="93" t="s">
        <v>82</v>
      </c>
      <c r="C12" s="94">
        <v>10000</v>
      </c>
      <c r="D12" s="102">
        <v>20000</v>
      </c>
      <c r="E12" s="96" t="s">
        <v>78</v>
      </c>
      <c r="F12" s="103">
        <v>2E-3</v>
      </c>
      <c r="G12" s="102">
        <v>30000</v>
      </c>
      <c r="H12" s="96" t="s">
        <v>78</v>
      </c>
      <c r="I12" s="103">
        <v>8.9999999999999993E-3</v>
      </c>
      <c r="J12" s="95">
        <f t="shared" si="1"/>
        <v>80</v>
      </c>
      <c r="K12" s="96" t="s">
        <v>94</v>
      </c>
      <c r="L12" s="97">
        <f t="shared" si="0"/>
        <v>160</v>
      </c>
    </row>
    <row r="13" spans="1:12" x14ac:dyDescent="0.2">
      <c r="A13" s="104" t="s">
        <v>89</v>
      </c>
      <c r="B13" s="105" t="s">
        <v>83</v>
      </c>
      <c r="C13" s="106">
        <v>20000</v>
      </c>
      <c r="D13" s="107">
        <v>25000</v>
      </c>
      <c r="E13" s="108" t="s">
        <v>78</v>
      </c>
      <c r="F13" s="110">
        <v>1.5E-3</v>
      </c>
      <c r="G13" s="107">
        <v>70000</v>
      </c>
      <c r="H13" s="108" t="s">
        <v>78</v>
      </c>
      <c r="I13" s="109">
        <v>5.0000000000000001E-3</v>
      </c>
      <c r="J13" s="111">
        <f t="shared" si="1"/>
        <v>90</v>
      </c>
      <c r="K13" s="108" t="s">
        <v>94</v>
      </c>
      <c r="L13" s="112">
        <f t="shared" si="0"/>
        <v>180</v>
      </c>
    </row>
    <row r="14" spans="1:12" x14ac:dyDescent="0.2">
      <c r="A14" s="72" t="s">
        <v>90</v>
      </c>
      <c r="B14" s="10" t="s">
        <v>84</v>
      </c>
      <c r="C14" s="9">
        <v>20000</v>
      </c>
      <c r="D14" s="98">
        <v>35000</v>
      </c>
      <c r="E14" s="84" t="s">
        <v>78</v>
      </c>
      <c r="F14" s="99">
        <v>1E-3</v>
      </c>
      <c r="G14" s="98">
        <v>140000</v>
      </c>
      <c r="H14" s="84" t="s">
        <v>78</v>
      </c>
      <c r="I14" s="122">
        <v>1.5E-3</v>
      </c>
      <c r="J14" s="83">
        <f t="shared" si="1"/>
        <v>100</v>
      </c>
      <c r="K14" s="84" t="s">
        <v>94</v>
      </c>
      <c r="L14" s="85">
        <f t="shared" si="0"/>
        <v>200</v>
      </c>
    </row>
    <row r="15" spans="1:12" x14ac:dyDescent="0.2">
      <c r="A15" s="86" t="s">
        <v>91</v>
      </c>
      <c r="B15" s="87" t="s">
        <v>85</v>
      </c>
      <c r="C15" s="88">
        <v>20000</v>
      </c>
      <c r="D15" s="100">
        <v>55000</v>
      </c>
      <c r="E15" s="90" t="s">
        <v>78</v>
      </c>
      <c r="F15" s="113">
        <v>5.0000000000000001E-4</v>
      </c>
      <c r="G15" s="100">
        <v>160000</v>
      </c>
      <c r="H15" s="90" t="s">
        <v>78</v>
      </c>
      <c r="I15" s="101">
        <v>1E-3</v>
      </c>
      <c r="J15" s="89">
        <v>125</v>
      </c>
      <c r="K15" s="90" t="s">
        <v>94</v>
      </c>
      <c r="L15" s="91">
        <f t="shared" si="0"/>
        <v>250</v>
      </c>
    </row>
    <row r="16" spans="1:12" x14ac:dyDescent="0.2">
      <c r="A16" s="92" t="s">
        <v>92</v>
      </c>
      <c r="B16" s="93" t="s">
        <v>86</v>
      </c>
      <c r="C16" s="94">
        <v>20000</v>
      </c>
      <c r="D16" s="102">
        <v>77500</v>
      </c>
      <c r="E16" s="96" t="s">
        <v>78</v>
      </c>
      <c r="F16" s="123">
        <v>2.5000000000000001E-4</v>
      </c>
      <c r="G16" s="102">
        <v>160000</v>
      </c>
      <c r="H16" s="96" t="s">
        <v>78</v>
      </c>
      <c r="I16" s="103">
        <v>1E-3</v>
      </c>
      <c r="J16" s="95">
        <v>150</v>
      </c>
      <c r="K16" s="96" t="s">
        <v>94</v>
      </c>
      <c r="L16" s="97">
        <f t="shared" si="0"/>
        <v>300</v>
      </c>
    </row>
    <row r="17" spans="1:12" x14ac:dyDescent="0.2">
      <c r="A17" s="104" t="s">
        <v>95</v>
      </c>
      <c r="B17" s="105" t="s">
        <v>93</v>
      </c>
      <c r="C17" s="106">
        <v>20000</v>
      </c>
      <c r="D17" s="107">
        <v>85000</v>
      </c>
      <c r="E17" s="108" t="s">
        <v>78</v>
      </c>
      <c r="F17" s="110">
        <v>2.0000000000000001E-4</v>
      </c>
      <c r="G17" s="107">
        <v>280000</v>
      </c>
      <c r="H17" s="108" t="s">
        <v>78</v>
      </c>
      <c r="I17" s="110">
        <v>2.0000000000000001E-4</v>
      </c>
      <c r="J17" s="111">
        <v>160</v>
      </c>
      <c r="K17" s="108" t="s">
        <v>94</v>
      </c>
      <c r="L17" s="112">
        <f t="shared" si="0"/>
        <v>320</v>
      </c>
    </row>
    <row r="18" spans="1:12" x14ac:dyDescent="0.2">
      <c r="L18" s="73"/>
    </row>
    <row r="19" spans="1:12" x14ac:dyDescent="0.2">
      <c r="L19" s="75"/>
    </row>
    <row r="20" spans="1:12" x14ac:dyDescent="0.2">
      <c r="B20" s="150" t="s">
        <v>98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  <row r="21" spans="1:12" ht="16" x14ac:dyDescent="0.2">
      <c r="A21" s="82" t="s">
        <v>17</v>
      </c>
      <c r="B21" s="82" t="s">
        <v>97</v>
      </c>
      <c r="C21" s="82" t="s">
        <v>16</v>
      </c>
      <c r="D21" s="143" t="s">
        <v>15</v>
      </c>
      <c r="E21" s="144"/>
      <c r="F21" s="145"/>
      <c r="G21" s="143" t="s">
        <v>100</v>
      </c>
      <c r="H21" s="144"/>
      <c r="I21" s="145"/>
      <c r="J21" s="146" t="s">
        <v>70</v>
      </c>
      <c r="K21" s="147"/>
      <c r="L21" s="148"/>
    </row>
    <row r="22" spans="1:12" x14ac:dyDescent="0.2">
      <c r="A22" s="104">
        <v>0</v>
      </c>
      <c r="B22" s="105" t="s">
        <v>23</v>
      </c>
      <c r="C22" s="106">
        <v>1000</v>
      </c>
      <c r="D22" s="125">
        <v>1500</v>
      </c>
      <c r="E22" s="126"/>
      <c r="F22" s="127"/>
      <c r="G22" s="125" t="s">
        <v>99</v>
      </c>
      <c r="H22" s="128"/>
      <c r="I22" s="129"/>
      <c r="J22" s="170" t="s">
        <v>28</v>
      </c>
      <c r="K22" s="171"/>
      <c r="L22" s="172"/>
    </row>
    <row r="23" spans="1:12" x14ac:dyDescent="0.2">
      <c r="A23" s="72" t="s">
        <v>11</v>
      </c>
      <c r="B23" s="10" t="s">
        <v>24</v>
      </c>
      <c r="C23" s="9">
        <v>1000</v>
      </c>
      <c r="D23" s="81">
        <v>2500</v>
      </c>
      <c r="E23" s="114"/>
      <c r="F23" s="115"/>
      <c r="G23" s="81" t="s">
        <v>99</v>
      </c>
      <c r="H23" s="114"/>
      <c r="I23" s="115"/>
      <c r="J23" s="173" t="s">
        <v>28</v>
      </c>
      <c r="K23" s="174"/>
      <c r="L23" s="175"/>
    </row>
    <row r="24" spans="1:12" x14ac:dyDescent="0.2">
      <c r="A24" s="86" t="s">
        <v>9</v>
      </c>
      <c r="B24" s="87" t="s">
        <v>37</v>
      </c>
      <c r="C24" s="88">
        <v>2000</v>
      </c>
      <c r="D24" s="155">
        <v>0.02</v>
      </c>
      <c r="E24" s="156"/>
      <c r="F24" s="157"/>
      <c r="G24" s="155" t="s">
        <v>99</v>
      </c>
      <c r="H24" s="156"/>
      <c r="I24" s="157"/>
      <c r="J24" s="152" t="s">
        <v>28</v>
      </c>
      <c r="K24" s="153"/>
      <c r="L24" s="154"/>
    </row>
    <row r="25" spans="1:12" x14ac:dyDescent="0.2">
      <c r="A25" s="92" t="s">
        <v>8</v>
      </c>
      <c r="B25" s="93" t="s">
        <v>79</v>
      </c>
      <c r="C25" s="94">
        <v>2500</v>
      </c>
      <c r="D25" s="119">
        <v>10000</v>
      </c>
      <c r="E25" s="120"/>
      <c r="F25" s="121"/>
      <c r="G25" s="119" t="s">
        <v>99</v>
      </c>
      <c r="H25" s="120"/>
      <c r="I25" s="121"/>
      <c r="J25" s="95">
        <v>50</v>
      </c>
      <c r="K25" s="96" t="s">
        <v>94</v>
      </c>
      <c r="L25" s="97">
        <v>100</v>
      </c>
    </row>
    <row r="26" spans="1:12" x14ac:dyDescent="0.2">
      <c r="A26" s="104" t="s">
        <v>5</v>
      </c>
      <c r="B26" s="105" t="s">
        <v>80</v>
      </c>
      <c r="C26" s="106">
        <v>3000</v>
      </c>
      <c r="D26" s="107">
        <v>2500</v>
      </c>
      <c r="E26" s="108" t="s">
        <v>78</v>
      </c>
      <c r="F26" s="124">
        <v>0.01</v>
      </c>
      <c r="G26" s="167" t="s">
        <v>99</v>
      </c>
      <c r="H26" s="168"/>
      <c r="I26" s="169"/>
      <c r="J26" s="111">
        <v>55</v>
      </c>
      <c r="K26" s="108" t="s">
        <v>94</v>
      </c>
      <c r="L26" s="112">
        <v>110</v>
      </c>
    </row>
    <row r="27" spans="1:12" x14ac:dyDescent="0.2">
      <c r="A27" s="72" t="s">
        <v>3</v>
      </c>
      <c r="B27" s="10" t="s">
        <v>81</v>
      </c>
      <c r="C27" s="9">
        <v>5000</v>
      </c>
      <c r="D27" s="98">
        <v>7500</v>
      </c>
      <c r="E27" s="84" t="s">
        <v>78</v>
      </c>
      <c r="F27" s="99">
        <v>6.0000000000000001E-3</v>
      </c>
      <c r="G27" s="158" t="s">
        <v>99</v>
      </c>
      <c r="H27" s="159"/>
      <c r="I27" s="160"/>
      <c r="J27" s="83">
        <v>60</v>
      </c>
      <c r="K27" s="84" t="s">
        <v>94</v>
      </c>
      <c r="L27" s="85">
        <f t="shared" ref="L27:L34" si="2">J27*2</f>
        <v>120</v>
      </c>
    </row>
    <row r="28" spans="1:12" x14ac:dyDescent="0.2">
      <c r="A28" s="86" t="s">
        <v>87</v>
      </c>
      <c r="B28" s="87" t="s">
        <v>6</v>
      </c>
      <c r="C28" s="88">
        <v>7500</v>
      </c>
      <c r="D28" s="100">
        <v>15000</v>
      </c>
      <c r="E28" s="90" t="s">
        <v>78</v>
      </c>
      <c r="F28" s="101">
        <v>3.0000000000000001E-3</v>
      </c>
      <c r="G28" s="161" t="s">
        <v>99</v>
      </c>
      <c r="H28" s="162"/>
      <c r="I28" s="163"/>
      <c r="J28" s="89">
        <f t="shared" ref="J28:J31" si="3">J27+10</f>
        <v>70</v>
      </c>
      <c r="K28" s="90" t="s">
        <v>94</v>
      </c>
      <c r="L28" s="91">
        <f t="shared" si="2"/>
        <v>140</v>
      </c>
    </row>
    <row r="29" spans="1:12" x14ac:dyDescent="0.2">
      <c r="A29" s="92" t="s">
        <v>88</v>
      </c>
      <c r="B29" s="93" t="s">
        <v>82</v>
      </c>
      <c r="C29" s="94">
        <v>10000</v>
      </c>
      <c r="D29" s="102">
        <v>20000</v>
      </c>
      <c r="E29" s="96" t="s">
        <v>78</v>
      </c>
      <c r="F29" s="103">
        <v>2E-3</v>
      </c>
      <c r="G29" s="164" t="s">
        <v>99</v>
      </c>
      <c r="H29" s="165"/>
      <c r="I29" s="166"/>
      <c r="J29" s="95">
        <f t="shared" si="3"/>
        <v>80</v>
      </c>
      <c r="K29" s="96" t="s">
        <v>94</v>
      </c>
      <c r="L29" s="97">
        <f t="shared" si="2"/>
        <v>160</v>
      </c>
    </row>
    <row r="30" spans="1:12" x14ac:dyDescent="0.2">
      <c r="A30" s="104" t="s">
        <v>89</v>
      </c>
      <c r="B30" s="105" t="s">
        <v>83</v>
      </c>
      <c r="C30" s="106">
        <v>20000</v>
      </c>
      <c r="D30" s="107">
        <v>25000</v>
      </c>
      <c r="E30" s="108" t="s">
        <v>78</v>
      </c>
      <c r="F30" s="110">
        <v>1.5E-3</v>
      </c>
      <c r="G30" s="167" t="s">
        <v>99</v>
      </c>
      <c r="H30" s="168"/>
      <c r="I30" s="169"/>
      <c r="J30" s="111">
        <f t="shared" si="3"/>
        <v>90</v>
      </c>
      <c r="K30" s="108" t="s">
        <v>94</v>
      </c>
      <c r="L30" s="112">
        <f t="shared" si="2"/>
        <v>180</v>
      </c>
    </row>
    <row r="31" spans="1:12" x14ac:dyDescent="0.2">
      <c r="A31" s="72" t="s">
        <v>90</v>
      </c>
      <c r="B31" s="10" t="s">
        <v>84</v>
      </c>
      <c r="C31" s="9">
        <v>20000</v>
      </c>
      <c r="D31" s="98">
        <v>35000</v>
      </c>
      <c r="E31" s="84" t="s">
        <v>78</v>
      </c>
      <c r="F31" s="99">
        <v>1E-3</v>
      </c>
      <c r="G31" s="158" t="s">
        <v>99</v>
      </c>
      <c r="H31" s="159"/>
      <c r="I31" s="160"/>
      <c r="J31" s="83">
        <f t="shared" si="3"/>
        <v>100</v>
      </c>
      <c r="K31" s="84" t="s">
        <v>94</v>
      </c>
      <c r="L31" s="85">
        <f t="shared" si="2"/>
        <v>200</v>
      </c>
    </row>
    <row r="32" spans="1:12" x14ac:dyDescent="0.2">
      <c r="A32" s="86" t="s">
        <v>91</v>
      </c>
      <c r="B32" s="87" t="s">
        <v>85</v>
      </c>
      <c r="C32" s="88">
        <v>20000</v>
      </c>
      <c r="D32" s="100">
        <v>55000</v>
      </c>
      <c r="E32" s="90" t="s">
        <v>78</v>
      </c>
      <c r="F32" s="113">
        <v>5.0000000000000001E-4</v>
      </c>
      <c r="G32" s="161" t="s">
        <v>99</v>
      </c>
      <c r="H32" s="162"/>
      <c r="I32" s="163"/>
      <c r="J32" s="89">
        <v>125</v>
      </c>
      <c r="K32" s="90" t="s">
        <v>94</v>
      </c>
      <c r="L32" s="91">
        <f t="shared" si="2"/>
        <v>250</v>
      </c>
    </row>
    <row r="33" spans="1:12" x14ac:dyDescent="0.2">
      <c r="A33" s="92" t="s">
        <v>92</v>
      </c>
      <c r="B33" s="93" t="s">
        <v>86</v>
      </c>
      <c r="C33" s="94">
        <v>20000</v>
      </c>
      <c r="D33" s="102">
        <v>77500</v>
      </c>
      <c r="E33" s="96" t="s">
        <v>78</v>
      </c>
      <c r="F33" s="123">
        <v>2.5000000000000001E-4</v>
      </c>
      <c r="G33" s="164" t="s">
        <v>99</v>
      </c>
      <c r="H33" s="165"/>
      <c r="I33" s="166"/>
      <c r="J33" s="95">
        <v>150</v>
      </c>
      <c r="K33" s="96" t="s">
        <v>94</v>
      </c>
      <c r="L33" s="97">
        <f t="shared" si="2"/>
        <v>300</v>
      </c>
    </row>
    <row r="34" spans="1:12" x14ac:dyDescent="0.2">
      <c r="A34" s="104" t="s">
        <v>95</v>
      </c>
      <c r="B34" s="105" t="s">
        <v>93</v>
      </c>
      <c r="C34" s="106">
        <v>20000</v>
      </c>
      <c r="D34" s="107">
        <v>85000</v>
      </c>
      <c r="E34" s="108" t="s">
        <v>78</v>
      </c>
      <c r="F34" s="110">
        <v>2.0000000000000001E-4</v>
      </c>
      <c r="G34" s="167" t="s">
        <v>99</v>
      </c>
      <c r="H34" s="168"/>
      <c r="I34" s="169"/>
      <c r="J34" s="111">
        <v>160</v>
      </c>
      <c r="K34" s="108" t="s">
        <v>94</v>
      </c>
      <c r="L34" s="112">
        <f t="shared" si="2"/>
        <v>320</v>
      </c>
    </row>
    <row r="37" spans="1:12" ht="30.75" customHeight="1" x14ac:dyDescent="0.2">
      <c r="A37" s="149" t="s">
        <v>96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9" spans="1:12" ht="28" customHeight="1" x14ac:dyDescent="0.2">
      <c r="A39" s="149" t="s">
        <v>101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</sheetData>
  <mergeCells count="29">
    <mergeCell ref="A39:L39"/>
    <mergeCell ref="J5:L5"/>
    <mergeCell ref="B20:L20"/>
    <mergeCell ref="D21:F21"/>
    <mergeCell ref="G21:I21"/>
    <mergeCell ref="G26:I26"/>
    <mergeCell ref="G27:I27"/>
    <mergeCell ref="G28:I28"/>
    <mergeCell ref="J6:L6"/>
    <mergeCell ref="D7:F7"/>
    <mergeCell ref="J7:L7"/>
    <mergeCell ref="G34:I34"/>
    <mergeCell ref="J21:L21"/>
    <mergeCell ref="J22:L22"/>
    <mergeCell ref="J23:L23"/>
    <mergeCell ref="D24:F24"/>
    <mergeCell ref="A1:L1"/>
    <mergeCell ref="D4:F4"/>
    <mergeCell ref="G4:I4"/>
    <mergeCell ref="J4:L4"/>
    <mergeCell ref="A37:L37"/>
    <mergeCell ref="B3:L3"/>
    <mergeCell ref="J24:L24"/>
    <mergeCell ref="G24:I24"/>
    <mergeCell ref="G31:I31"/>
    <mergeCell ref="G32:I32"/>
    <mergeCell ref="G33:I33"/>
    <mergeCell ref="G29:I29"/>
    <mergeCell ref="G30:I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zoomScale="142" zoomScaleNormal="70" workbookViewId="0">
      <selection activeCell="G17" sqref="G17"/>
    </sheetView>
  </sheetViews>
  <sheetFormatPr baseColWidth="10" defaultColWidth="8.83203125" defaultRowHeight="15" x14ac:dyDescent="0.2"/>
  <cols>
    <col min="1" max="1" width="15.6640625" bestFit="1" customWidth="1"/>
    <col min="2" max="2" width="18.33203125" bestFit="1" customWidth="1"/>
    <col min="3" max="3" width="4" customWidth="1"/>
    <col min="4" max="4" width="15.5" customWidth="1"/>
    <col min="5" max="5" width="15" bestFit="1" customWidth="1"/>
    <col min="6" max="6" width="4.1640625" customWidth="1"/>
    <col min="7" max="7" width="12" bestFit="1" customWidth="1"/>
    <col min="14" max="14" width="13.33203125" bestFit="1" customWidth="1"/>
  </cols>
  <sheetData>
    <row r="1" spans="1:14" ht="16" thickBot="1" x14ac:dyDescent="0.25"/>
    <row r="2" spans="1:14" ht="16" thickBot="1" x14ac:dyDescent="0.25">
      <c r="A2" s="68" t="s">
        <v>69</v>
      </c>
      <c r="B2" s="69">
        <v>3000000</v>
      </c>
      <c r="C2" s="70" t="s">
        <v>67</v>
      </c>
      <c r="D2" s="70" t="s">
        <v>68</v>
      </c>
      <c r="E2" s="70"/>
      <c r="F2" s="71"/>
    </row>
    <row r="3" spans="1:14" ht="16" thickBot="1" x14ac:dyDescent="0.25"/>
    <row r="4" spans="1:14" ht="17" thickBot="1" x14ac:dyDescent="0.25">
      <c r="A4" s="178" t="s">
        <v>18</v>
      </c>
      <c r="B4" s="179"/>
      <c r="D4" s="188" t="s">
        <v>112</v>
      </c>
      <c r="E4" s="189"/>
      <c r="G4" s="141" t="s">
        <v>113</v>
      </c>
      <c r="H4" s="140"/>
      <c r="I4" s="140"/>
      <c r="J4" s="140"/>
      <c r="K4" s="140"/>
      <c r="L4" s="140"/>
      <c r="M4" s="140"/>
      <c r="N4" s="140"/>
    </row>
    <row r="5" spans="1:14" x14ac:dyDescent="0.2">
      <c r="A5" s="49" t="s">
        <v>62</v>
      </c>
      <c r="B5" s="28">
        <f>'RawData Nova Tabela'!M36</f>
        <v>7500</v>
      </c>
      <c r="D5" s="50" t="s">
        <v>62</v>
      </c>
      <c r="E5" s="55">
        <f>B5/2</f>
        <v>3750</v>
      </c>
    </row>
    <row r="6" spans="1:14" x14ac:dyDescent="0.2">
      <c r="A6" s="49" t="s">
        <v>15</v>
      </c>
      <c r="B6" s="28">
        <f>'RawData Nova Tabela'!M2</f>
        <v>23999.999975999999</v>
      </c>
      <c r="D6" s="50" t="s">
        <v>15</v>
      </c>
      <c r="E6" s="46">
        <f>B6/2</f>
        <v>11999.999988</v>
      </c>
    </row>
    <row r="7" spans="1:14" x14ac:dyDescent="0.2">
      <c r="A7" s="49" t="s">
        <v>105</v>
      </c>
      <c r="B7" s="28">
        <f>'RawData Nova Tabela'!N19</f>
        <v>122399.99976960001</v>
      </c>
      <c r="D7" s="50" t="s">
        <v>105</v>
      </c>
      <c r="E7" s="55">
        <f>B7</f>
        <v>122399.99976960001</v>
      </c>
    </row>
    <row r="8" spans="1:14" x14ac:dyDescent="0.2">
      <c r="A8" s="130" t="s">
        <v>106</v>
      </c>
      <c r="B8" s="131">
        <f>'RawData Nova Tabela'!O19</f>
        <v>45899.999913600004</v>
      </c>
      <c r="D8" s="132" t="s">
        <v>106</v>
      </c>
      <c r="E8" s="133">
        <f>B8</f>
        <v>45899.999913600004</v>
      </c>
    </row>
    <row r="9" spans="1:14" x14ac:dyDescent="0.2">
      <c r="A9" s="130" t="s">
        <v>107</v>
      </c>
      <c r="B9" s="131">
        <f>'RawData Nova Tabela'!P19</f>
        <v>38249.999928000005</v>
      </c>
      <c r="D9" s="132" t="s">
        <v>107</v>
      </c>
      <c r="E9" s="133">
        <f>B9</f>
        <v>38249.999928000005</v>
      </c>
      <c r="G9" s="1"/>
    </row>
    <row r="10" spans="1:14" x14ac:dyDescent="0.2">
      <c r="A10" s="56" t="s">
        <v>64</v>
      </c>
      <c r="B10" s="57">
        <f>B7+B6+B5</f>
        <v>153899.99974560001</v>
      </c>
      <c r="D10" s="58" t="s">
        <v>64</v>
      </c>
      <c r="E10" s="59">
        <f>E7+E6+E5</f>
        <v>138149.99975760002</v>
      </c>
      <c r="N10" s="1"/>
    </row>
    <row r="11" spans="1:14" x14ac:dyDescent="0.2">
      <c r="A11" s="52" t="s">
        <v>108</v>
      </c>
      <c r="B11" s="136">
        <f>B10/B2</f>
        <v>5.1299999915200005E-2</v>
      </c>
      <c r="D11" s="53" t="s">
        <v>108</v>
      </c>
      <c r="E11" s="137">
        <f>E10/B2</f>
        <v>4.6049999919200009E-2</v>
      </c>
      <c r="N11" s="1"/>
    </row>
    <row r="12" spans="1:14" ht="16" thickBot="1" x14ac:dyDescent="0.25">
      <c r="B12" s="1"/>
      <c r="E12" s="1"/>
      <c r="N12" s="1"/>
    </row>
    <row r="13" spans="1:14" ht="16" thickBot="1" x14ac:dyDescent="0.25">
      <c r="A13" s="176" t="s">
        <v>21</v>
      </c>
      <c r="B13" s="177"/>
      <c r="D13" s="190" t="s">
        <v>111</v>
      </c>
      <c r="E13" s="191"/>
      <c r="N13" s="1"/>
    </row>
    <row r="14" spans="1:14" x14ac:dyDescent="0.2">
      <c r="A14" s="52" t="s">
        <v>62</v>
      </c>
      <c r="B14" s="48">
        <f>B5</f>
        <v>7500</v>
      </c>
      <c r="D14" s="53" t="s">
        <v>62</v>
      </c>
      <c r="E14" s="47">
        <f>B14/2</f>
        <v>3750</v>
      </c>
      <c r="N14" s="1"/>
    </row>
    <row r="15" spans="1:14" x14ac:dyDescent="0.2">
      <c r="A15" s="52" t="s">
        <v>15</v>
      </c>
      <c r="B15" s="48">
        <f>B6</f>
        <v>23999.999975999999</v>
      </c>
      <c r="D15" s="53" t="s">
        <v>15</v>
      </c>
      <c r="E15" s="47">
        <f>B15/2</f>
        <v>11999.999988</v>
      </c>
      <c r="N15" s="1"/>
    </row>
    <row r="16" spans="1:14" x14ac:dyDescent="0.2">
      <c r="A16" s="52" t="s">
        <v>63</v>
      </c>
      <c r="B16" s="48">
        <f>'RawData Nova Tabela'!M19</f>
        <v>50999.999904000004</v>
      </c>
      <c r="D16" s="53" t="s">
        <v>63</v>
      </c>
      <c r="E16" s="47">
        <f>B16</f>
        <v>50999.999904000004</v>
      </c>
      <c r="G16" s="1"/>
      <c r="N16" s="1"/>
    </row>
    <row r="17" spans="1:5" x14ac:dyDescent="0.2">
      <c r="A17" s="60" t="s">
        <v>64</v>
      </c>
      <c r="B17" s="61">
        <f>SUM(B14:B16)</f>
        <v>82499.999880000003</v>
      </c>
      <c r="D17" s="62" t="s">
        <v>64</v>
      </c>
      <c r="E17" s="63">
        <f>SUM(E14:E16)</f>
        <v>66749.999892000007</v>
      </c>
    </row>
    <row r="18" spans="1:5" x14ac:dyDescent="0.2">
      <c r="A18" s="49" t="s">
        <v>108</v>
      </c>
      <c r="B18" s="134">
        <f>B17/B2</f>
        <v>2.749999996E-2</v>
      </c>
      <c r="D18" s="50" t="s">
        <v>108</v>
      </c>
      <c r="E18" s="135">
        <f>E17/B2</f>
        <v>2.2249999964000001E-2</v>
      </c>
    </row>
    <row r="19" spans="1:5" ht="16" thickBot="1" x14ac:dyDescent="0.25"/>
    <row r="20" spans="1:5" x14ac:dyDescent="0.2">
      <c r="A20" s="180" t="s">
        <v>109</v>
      </c>
      <c r="B20" s="181"/>
      <c r="D20" s="184" t="s">
        <v>110</v>
      </c>
      <c r="E20" s="185"/>
    </row>
    <row r="21" spans="1:5" ht="16" thickBot="1" x14ac:dyDescent="0.25">
      <c r="A21" s="182"/>
      <c r="B21" s="183"/>
      <c r="D21" s="186"/>
      <c r="E21" s="187"/>
    </row>
    <row r="22" spans="1:5" x14ac:dyDescent="0.2">
      <c r="A22" s="51" t="s">
        <v>62</v>
      </c>
      <c r="B22" s="45">
        <f>Contas!I20</f>
        <v>0</v>
      </c>
      <c r="D22" s="54" t="s">
        <v>62</v>
      </c>
      <c r="E22" s="27">
        <f>Contas!I21</f>
        <v>0</v>
      </c>
    </row>
    <row r="23" spans="1:5" x14ac:dyDescent="0.2">
      <c r="A23" s="51" t="s">
        <v>15</v>
      </c>
      <c r="B23" s="45">
        <f>Contas!J20</f>
        <v>0</v>
      </c>
      <c r="D23" s="54" t="s">
        <v>15</v>
      </c>
      <c r="E23" s="27">
        <f>Contas!J21</f>
        <v>0</v>
      </c>
    </row>
    <row r="24" spans="1:5" x14ac:dyDescent="0.2">
      <c r="A24" s="51" t="s">
        <v>63</v>
      </c>
      <c r="B24" s="45">
        <f>Contas!K20</f>
        <v>0</v>
      </c>
      <c r="D24" s="54" t="s">
        <v>63</v>
      </c>
      <c r="E24" s="27">
        <f>Contas!K21</f>
        <v>0</v>
      </c>
    </row>
    <row r="25" spans="1:5" x14ac:dyDescent="0.2">
      <c r="A25" s="64" t="s">
        <v>64</v>
      </c>
      <c r="B25" s="65">
        <f>SUM(B22:B24)</f>
        <v>0</v>
      </c>
      <c r="D25" s="66" t="s">
        <v>64</v>
      </c>
      <c r="E25" s="67">
        <f>SUM(E22:E24)</f>
        <v>0</v>
      </c>
    </row>
    <row r="26" spans="1:5" x14ac:dyDescent="0.2">
      <c r="A26" s="54" t="s">
        <v>108</v>
      </c>
      <c r="B26" s="138">
        <f>B25/B2</f>
        <v>0</v>
      </c>
      <c r="D26" s="51" t="s">
        <v>108</v>
      </c>
      <c r="E26" s="139">
        <f>E25/B2</f>
        <v>0</v>
      </c>
    </row>
  </sheetData>
  <mergeCells count="6">
    <mergeCell ref="A13:B13"/>
    <mergeCell ref="A4:B4"/>
    <mergeCell ref="A20:B21"/>
    <mergeCell ref="D20:E21"/>
    <mergeCell ref="D4:E4"/>
    <mergeCell ref="D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1E06-2B48-497D-BFED-C909DDF09320}">
  <dimension ref="A2:P50"/>
  <sheetViews>
    <sheetView topLeftCell="D1" workbookViewId="0">
      <selection activeCell="D56" sqref="D56"/>
    </sheetView>
  </sheetViews>
  <sheetFormatPr baseColWidth="10" defaultColWidth="8.83203125" defaultRowHeight="15" x14ac:dyDescent="0.2"/>
  <cols>
    <col min="1" max="2" width="16.83203125" style="75" bestFit="1" customWidth="1"/>
    <col min="3" max="3" width="13.33203125" style="75" bestFit="1" customWidth="1"/>
    <col min="4" max="4" width="16.83203125" style="75" bestFit="1" customWidth="1"/>
    <col min="5" max="5" width="13.33203125" style="75" bestFit="1" customWidth="1"/>
    <col min="6" max="6" width="16.83203125" style="75" bestFit="1" customWidth="1"/>
    <col min="7" max="7" width="8.83203125" style="76"/>
    <col min="8" max="8" width="8.83203125" style="77"/>
    <col min="9" max="9" width="13.33203125" style="78" bestFit="1" customWidth="1"/>
    <col min="10" max="10" width="16.83203125" style="75" bestFit="1" customWidth="1"/>
    <col min="11" max="11" width="13.33203125" style="75" bestFit="1" customWidth="1"/>
    <col min="12" max="12" width="9.83203125" style="75" bestFit="1" customWidth="1"/>
    <col min="13" max="13" width="12.33203125" style="75" bestFit="1" customWidth="1"/>
    <col min="14" max="14" width="13.33203125" style="75" bestFit="1" customWidth="1"/>
    <col min="15" max="16" width="12.33203125" style="75" bestFit="1" customWidth="1"/>
    <col min="17" max="16384" width="8.83203125" style="75"/>
  </cols>
  <sheetData>
    <row r="2" spans="1:14" x14ac:dyDescent="0.2">
      <c r="H2" s="77" t="s">
        <v>102</v>
      </c>
      <c r="M2" s="78">
        <f>(MAX(M3:M16))</f>
        <v>23999.999975999999</v>
      </c>
    </row>
    <row r="3" spans="1:14" x14ac:dyDescent="0.2">
      <c r="A3" s="75" t="s">
        <v>71</v>
      </c>
      <c r="B3" s="75" t="s">
        <v>72</v>
      </c>
      <c r="C3" s="75" t="s">
        <v>73</v>
      </c>
      <c r="D3" s="75" t="s">
        <v>74</v>
      </c>
      <c r="E3" s="75" t="s">
        <v>75</v>
      </c>
      <c r="F3" s="75" t="s">
        <v>76</v>
      </c>
      <c r="G3" s="76" t="s">
        <v>77</v>
      </c>
    </row>
    <row r="4" spans="1:14" x14ac:dyDescent="0.2">
      <c r="A4" s="75">
        <v>0</v>
      </c>
      <c r="B4" s="75">
        <v>75000</v>
      </c>
      <c r="I4" s="78">
        <v>1500</v>
      </c>
      <c r="J4" s="75">
        <f t="shared" ref="J4:J16" si="0">IF($J$19&gt;=A4,1,0)</f>
        <v>1</v>
      </c>
      <c r="K4" s="75">
        <f t="shared" ref="K4:K15" si="1">IF($J$19&lt;=B4,1,0)</f>
        <v>0</v>
      </c>
      <c r="L4" s="75">
        <f t="shared" ref="L4:L6" si="2">IF(K4+J4=2,100,0)</f>
        <v>0</v>
      </c>
      <c r="M4" s="75">
        <f t="shared" ref="M4:M6" si="3">IF(L4=100,$J$19*H4+I4,0)</f>
        <v>0</v>
      </c>
    </row>
    <row r="5" spans="1:14" x14ac:dyDescent="0.2">
      <c r="A5" s="75">
        <v>75000.009999999995</v>
      </c>
      <c r="B5" s="75">
        <v>150000</v>
      </c>
      <c r="I5" s="78">
        <v>2500</v>
      </c>
      <c r="J5" s="75">
        <f t="shared" si="0"/>
        <v>1</v>
      </c>
      <c r="K5" s="75">
        <f t="shared" si="1"/>
        <v>0</v>
      </c>
      <c r="L5" s="75">
        <f t="shared" si="2"/>
        <v>0</v>
      </c>
      <c r="M5" s="75">
        <f t="shared" si="3"/>
        <v>0</v>
      </c>
    </row>
    <row r="6" spans="1:14" x14ac:dyDescent="0.2">
      <c r="A6" s="75">
        <v>150000.01</v>
      </c>
      <c r="B6" s="75">
        <v>500000</v>
      </c>
      <c r="H6" s="77">
        <v>0.02</v>
      </c>
      <c r="J6" s="75">
        <f t="shared" si="0"/>
        <v>1</v>
      </c>
      <c r="K6" s="75">
        <f t="shared" si="1"/>
        <v>0</v>
      </c>
      <c r="L6" s="75">
        <f t="shared" si="2"/>
        <v>0</v>
      </c>
      <c r="M6" s="75">
        <f t="shared" si="3"/>
        <v>0</v>
      </c>
    </row>
    <row r="7" spans="1:14" x14ac:dyDescent="0.2">
      <c r="A7" s="75">
        <v>500000.01</v>
      </c>
      <c r="B7" s="75">
        <v>750000</v>
      </c>
      <c r="C7" s="75">
        <v>10000</v>
      </c>
      <c r="D7" s="75">
        <v>10000</v>
      </c>
      <c r="E7" s="75">
        <f t="shared" ref="E7:E16" si="4">D7-C7</f>
        <v>0</v>
      </c>
      <c r="F7" s="75">
        <f t="shared" ref="F7:F16" si="5">B7-A7</f>
        <v>249999.99</v>
      </c>
      <c r="G7" s="76">
        <f t="shared" ref="G7:G16" si="6">E7/F7</f>
        <v>0</v>
      </c>
      <c r="I7" s="78">
        <f>D7-(H7*B7)</f>
        <v>10000</v>
      </c>
      <c r="J7" s="75">
        <f>IF($J$19&gt;=A7,1,0)</f>
        <v>1</v>
      </c>
      <c r="K7" s="75">
        <f t="shared" si="1"/>
        <v>0</v>
      </c>
      <c r="L7" s="75">
        <f>IF(K7+J7=2,100,0)</f>
        <v>0</v>
      </c>
      <c r="M7" s="75">
        <f>IF(L7=100,$J$19*H7+I7,0)</f>
        <v>0</v>
      </c>
      <c r="N7" s="79"/>
    </row>
    <row r="8" spans="1:14" x14ac:dyDescent="0.2">
      <c r="A8" s="75">
        <v>750000.01</v>
      </c>
      <c r="B8" s="75">
        <v>1250000</v>
      </c>
      <c r="C8" s="75">
        <v>10000</v>
      </c>
      <c r="D8" s="75">
        <v>15000</v>
      </c>
      <c r="E8" s="75">
        <f t="shared" si="4"/>
        <v>5000</v>
      </c>
      <c r="F8" s="75">
        <f t="shared" si="5"/>
        <v>499999.99</v>
      </c>
      <c r="G8" s="76">
        <f t="shared" si="6"/>
        <v>1.0000000200000005E-2</v>
      </c>
      <c r="H8" s="77">
        <f t="shared" ref="H8:H16" si="7">G8</f>
        <v>1.0000000200000005E-2</v>
      </c>
      <c r="I8" s="78">
        <f>D8-(H8*B8)</f>
        <v>2499.9997499999936</v>
      </c>
      <c r="J8" s="75">
        <f t="shared" si="0"/>
        <v>1</v>
      </c>
      <c r="K8" s="75">
        <f t="shared" si="1"/>
        <v>0</v>
      </c>
      <c r="L8" s="75">
        <f t="shared" ref="L8:L16" si="8">IF(K8+J8=2,100,0)</f>
        <v>0</v>
      </c>
      <c r="M8" s="75">
        <f t="shared" ref="M8:M16" si="9">IF(L8=100,$J$19*H8+I8,0)</f>
        <v>0</v>
      </c>
      <c r="N8" s="79"/>
    </row>
    <row r="9" spans="1:14" x14ac:dyDescent="0.2">
      <c r="A9" s="75">
        <v>1250000.01</v>
      </c>
      <c r="B9" s="75">
        <v>2500000</v>
      </c>
      <c r="C9" s="75">
        <v>15000</v>
      </c>
      <c r="D9" s="75">
        <v>22500</v>
      </c>
      <c r="E9" s="75">
        <f t="shared" si="4"/>
        <v>7500</v>
      </c>
      <c r="F9" s="75">
        <f t="shared" si="5"/>
        <v>1249999.99</v>
      </c>
      <c r="G9" s="76">
        <f t="shared" si="6"/>
        <v>6.0000000480000008E-3</v>
      </c>
      <c r="H9" s="77">
        <f t="shared" si="7"/>
        <v>6.0000000480000008E-3</v>
      </c>
      <c r="I9" s="78">
        <f t="shared" ref="I9:I16" si="10">C9-(H9*A9)</f>
        <v>7499.9998799999985</v>
      </c>
      <c r="J9" s="75">
        <f t="shared" si="0"/>
        <v>1</v>
      </c>
      <c r="K9" s="75">
        <f t="shared" si="1"/>
        <v>0</v>
      </c>
      <c r="L9" s="75">
        <f t="shared" si="8"/>
        <v>0</v>
      </c>
      <c r="M9" s="75">
        <f t="shared" si="9"/>
        <v>0</v>
      </c>
      <c r="N9" s="79"/>
    </row>
    <row r="10" spans="1:14" x14ac:dyDescent="0.2">
      <c r="A10" s="75">
        <v>2500000.0099999998</v>
      </c>
      <c r="B10" s="75">
        <v>5000000</v>
      </c>
      <c r="C10" s="75">
        <v>22500</v>
      </c>
      <c r="D10" s="75">
        <v>30000</v>
      </c>
      <c r="E10" s="75">
        <f t="shared" si="4"/>
        <v>7500</v>
      </c>
      <c r="F10" s="75">
        <f t="shared" si="5"/>
        <v>2499999.9900000002</v>
      </c>
      <c r="G10" s="76">
        <f t="shared" si="6"/>
        <v>3.0000000119999996E-3</v>
      </c>
      <c r="H10" s="77">
        <f t="shared" si="7"/>
        <v>3.0000000119999996E-3</v>
      </c>
      <c r="I10" s="78">
        <f t="shared" si="10"/>
        <v>14999.999940000002</v>
      </c>
      <c r="J10" s="75">
        <f t="shared" si="0"/>
        <v>1</v>
      </c>
      <c r="K10" s="75">
        <f t="shared" si="1"/>
        <v>1</v>
      </c>
      <c r="L10" s="75">
        <f t="shared" si="8"/>
        <v>100</v>
      </c>
      <c r="M10" s="75">
        <f t="shared" si="9"/>
        <v>23999.999975999999</v>
      </c>
      <c r="N10" s="79"/>
    </row>
    <row r="11" spans="1:14" x14ac:dyDescent="0.2">
      <c r="A11" s="75">
        <v>5000000.01</v>
      </c>
      <c r="B11" s="75">
        <v>10000000</v>
      </c>
      <c r="C11" s="75">
        <v>30000</v>
      </c>
      <c r="D11" s="75">
        <v>40000</v>
      </c>
      <c r="E11" s="75">
        <f t="shared" si="4"/>
        <v>10000</v>
      </c>
      <c r="F11" s="75">
        <f t="shared" si="5"/>
        <v>4999999.99</v>
      </c>
      <c r="G11" s="76">
        <f t="shared" si="6"/>
        <v>2.000000004E-3</v>
      </c>
      <c r="H11" s="77">
        <f t="shared" si="7"/>
        <v>2.000000004E-3</v>
      </c>
      <c r="I11" s="78">
        <f t="shared" si="10"/>
        <v>19999.999960000001</v>
      </c>
      <c r="J11" s="75">
        <f t="shared" si="0"/>
        <v>0</v>
      </c>
      <c r="K11" s="75">
        <f t="shared" si="1"/>
        <v>1</v>
      </c>
      <c r="L11" s="75">
        <f t="shared" si="8"/>
        <v>0</v>
      </c>
      <c r="M11" s="75">
        <f t="shared" si="9"/>
        <v>0</v>
      </c>
      <c r="N11" s="79"/>
    </row>
    <row r="12" spans="1:14" x14ac:dyDescent="0.2">
      <c r="A12" s="75">
        <v>10000000.01</v>
      </c>
      <c r="B12" s="75">
        <v>20000000</v>
      </c>
      <c r="C12" s="75">
        <v>40000</v>
      </c>
      <c r="D12" s="75">
        <v>55000</v>
      </c>
      <c r="E12" s="75">
        <f t="shared" si="4"/>
        <v>15000</v>
      </c>
      <c r="F12" s="75">
        <f t="shared" si="5"/>
        <v>9999999.9900000002</v>
      </c>
      <c r="G12" s="76">
        <f t="shared" si="6"/>
        <v>1.5000000015E-3</v>
      </c>
      <c r="H12" s="77">
        <f t="shared" si="7"/>
        <v>1.5000000015E-3</v>
      </c>
      <c r="I12" s="78">
        <f t="shared" si="10"/>
        <v>24999.999970000001</v>
      </c>
      <c r="J12" s="75">
        <f t="shared" si="0"/>
        <v>0</v>
      </c>
      <c r="K12" s="75">
        <f t="shared" si="1"/>
        <v>1</v>
      </c>
      <c r="L12" s="75">
        <f t="shared" si="8"/>
        <v>0</v>
      </c>
      <c r="M12" s="75">
        <f t="shared" si="9"/>
        <v>0</v>
      </c>
      <c r="N12" s="79"/>
    </row>
    <row r="13" spans="1:14" x14ac:dyDescent="0.2">
      <c r="A13" s="75">
        <v>20000000.010000002</v>
      </c>
      <c r="B13" s="75">
        <v>40000000</v>
      </c>
      <c r="C13" s="75">
        <v>55000</v>
      </c>
      <c r="D13" s="75">
        <v>75000</v>
      </c>
      <c r="E13" s="75">
        <f t="shared" si="4"/>
        <v>20000</v>
      </c>
      <c r="F13" s="75">
        <f t="shared" si="5"/>
        <v>19999999.989999998</v>
      </c>
      <c r="G13" s="76">
        <f t="shared" si="6"/>
        <v>1.0000000005E-3</v>
      </c>
      <c r="H13" s="77">
        <f t="shared" si="7"/>
        <v>1.0000000005E-3</v>
      </c>
      <c r="I13" s="78">
        <f t="shared" si="10"/>
        <v>34999.999979999993</v>
      </c>
      <c r="J13" s="75">
        <f t="shared" si="0"/>
        <v>0</v>
      </c>
      <c r="K13" s="75">
        <f t="shared" si="1"/>
        <v>1</v>
      </c>
      <c r="L13" s="75">
        <f t="shared" si="8"/>
        <v>0</v>
      </c>
      <c r="M13" s="75">
        <f t="shared" si="9"/>
        <v>0</v>
      </c>
      <c r="N13" s="79"/>
    </row>
    <row r="14" spans="1:14" x14ac:dyDescent="0.2">
      <c r="A14" s="75">
        <v>40000000.009999998</v>
      </c>
      <c r="B14" s="75">
        <v>90000000</v>
      </c>
      <c r="C14" s="75">
        <v>75000</v>
      </c>
      <c r="D14" s="75">
        <v>100000</v>
      </c>
      <c r="E14" s="75">
        <f t="shared" si="4"/>
        <v>25000</v>
      </c>
      <c r="F14" s="75">
        <f t="shared" si="5"/>
        <v>49999999.990000002</v>
      </c>
      <c r="G14" s="76">
        <f t="shared" si="6"/>
        <v>5.0000000009999999E-4</v>
      </c>
      <c r="H14" s="77">
        <f t="shared" si="7"/>
        <v>5.0000000009999999E-4</v>
      </c>
      <c r="I14" s="78">
        <f t="shared" si="10"/>
        <v>54999.999991000004</v>
      </c>
      <c r="J14" s="75">
        <f t="shared" si="0"/>
        <v>0</v>
      </c>
      <c r="K14" s="75">
        <f t="shared" si="1"/>
        <v>1</v>
      </c>
      <c r="L14" s="75">
        <f t="shared" si="8"/>
        <v>0</v>
      </c>
      <c r="M14" s="75">
        <f t="shared" si="9"/>
        <v>0</v>
      </c>
      <c r="N14" s="79"/>
    </row>
    <row r="15" spans="1:14" x14ac:dyDescent="0.2">
      <c r="A15" s="75">
        <v>90000000.010000005</v>
      </c>
      <c r="B15" s="75">
        <v>150000000</v>
      </c>
      <c r="C15" s="75">
        <v>100000</v>
      </c>
      <c r="D15" s="75">
        <v>115000</v>
      </c>
      <c r="E15" s="75">
        <f t="shared" si="4"/>
        <v>15000</v>
      </c>
      <c r="F15" s="75">
        <f t="shared" si="5"/>
        <v>59999999.989999995</v>
      </c>
      <c r="G15" s="76">
        <f t="shared" si="6"/>
        <v>2.5000000004166671E-4</v>
      </c>
      <c r="H15" s="77">
        <f t="shared" si="7"/>
        <v>2.5000000004166671E-4</v>
      </c>
      <c r="I15" s="78">
        <f t="shared" si="10"/>
        <v>77499.999993749996</v>
      </c>
      <c r="J15" s="75">
        <f t="shared" si="0"/>
        <v>0</v>
      </c>
      <c r="K15" s="75">
        <f t="shared" si="1"/>
        <v>1</v>
      </c>
      <c r="L15" s="75">
        <f t="shared" si="8"/>
        <v>0</v>
      </c>
      <c r="M15" s="75">
        <f t="shared" si="9"/>
        <v>0</v>
      </c>
      <c r="N15" s="79"/>
    </row>
    <row r="16" spans="1:14" x14ac:dyDescent="0.2">
      <c r="A16" s="75">
        <v>150000000.00999999</v>
      </c>
      <c r="B16" s="75">
        <v>300000000</v>
      </c>
      <c r="C16" s="75">
        <v>115000</v>
      </c>
      <c r="D16" s="75">
        <v>145000</v>
      </c>
      <c r="E16" s="75">
        <f t="shared" si="4"/>
        <v>30000</v>
      </c>
      <c r="F16" s="75">
        <f t="shared" si="5"/>
        <v>149999999.99000001</v>
      </c>
      <c r="G16" s="76">
        <f t="shared" si="6"/>
        <v>2.0000000001333331E-4</v>
      </c>
      <c r="H16" s="77">
        <f t="shared" si="7"/>
        <v>2.0000000001333331E-4</v>
      </c>
      <c r="I16" s="78">
        <f t="shared" si="10"/>
        <v>84999.999995999999</v>
      </c>
      <c r="J16" s="75">
        <f t="shared" si="0"/>
        <v>0</v>
      </c>
      <c r="K16" s="75">
        <f>IF($J$19&gt;=A16,1,0)</f>
        <v>0</v>
      </c>
      <c r="L16" s="75">
        <f t="shared" si="8"/>
        <v>0</v>
      </c>
      <c r="M16" s="75">
        <f t="shared" si="9"/>
        <v>0</v>
      </c>
      <c r="N16" s="79"/>
    </row>
    <row r="18" spans="1:16" x14ac:dyDescent="0.2">
      <c r="M18" s="75">
        <f>MAX(M7:M16)</f>
        <v>23999.999975999999</v>
      </c>
    </row>
    <row r="19" spans="1:16" x14ac:dyDescent="0.2">
      <c r="J19" s="80">
        <f>Calculadora!B2</f>
        <v>3000000</v>
      </c>
      <c r="M19" s="78">
        <f>(MAX(M20:M33))</f>
        <v>50999.999904000004</v>
      </c>
      <c r="N19" s="75">
        <f>(MAX(N20:N33))</f>
        <v>122399.99976960001</v>
      </c>
      <c r="O19" s="75">
        <f>(MAX(O20:O33))</f>
        <v>45899.999913600004</v>
      </c>
      <c r="P19" s="75">
        <f>(MAX(P20:P33))</f>
        <v>38249.999928000005</v>
      </c>
    </row>
    <row r="20" spans="1:16" x14ac:dyDescent="0.2">
      <c r="H20" s="77" t="s">
        <v>103</v>
      </c>
    </row>
    <row r="21" spans="1:16" x14ac:dyDescent="0.2">
      <c r="A21" s="75">
        <v>0</v>
      </c>
      <c r="B21" s="75">
        <v>75000</v>
      </c>
      <c r="I21" s="78">
        <v>4500</v>
      </c>
      <c r="J21" s="75">
        <f>IF($J$19&gt;=A21,1,0)</f>
        <v>1</v>
      </c>
      <c r="K21" s="75">
        <f t="shared" ref="K21:K32" si="11">IF($J$19&lt;=B21,1,0)</f>
        <v>0</v>
      </c>
      <c r="L21" s="75">
        <f t="shared" ref="L21:L23" si="12">IF(K21+J21=2,100,0)</f>
        <v>0</v>
      </c>
      <c r="M21" s="75">
        <f t="shared" ref="M21:M23" si="13">IF(L21=100,$J$19*H21+I21,0)</f>
        <v>0</v>
      </c>
      <c r="N21" s="79">
        <f t="shared" ref="N21:N23" si="14">M21*2.4</f>
        <v>0</v>
      </c>
      <c r="O21" s="75">
        <f t="shared" ref="O21:O23" si="15">N21*0.375</f>
        <v>0</v>
      </c>
      <c r="P21" s="75">
        <f t="shared" ref="P21:P23" si="16">N21*0.3125</f>
        <v>0</v>
      </c>
    </row>
    <row r="22" spans="1:16" x14ac:dyDescent="0.2">
      <c r="A22" s="75">
        <v>75000.009999999995</v>
      </c>
      <c r="B22" s="75">
        <v>150000</v>
      </c>
      <c r="I22" s="78">
        <v>7000</v>
      </c>
      <c r="J22" s="75">
        <f t="shared" ref="J22:J33" si="17">IF($J$19&gt;=A22,1,0)</f>
        <v>1</v>
      </c>
      <c r="K22" s="75">
        <f t="shared" si="11"/>
        <v>0</v>
      </c>
      <c r="L22" s="75">
        <f t="shared" si="12"/>
        <v>0</v>
      </c>
      <c r="M22" s="75">
        <f t="shared" si="13"/>
        <v>0</v>
      </c>
      <c r="N22" s="79">
        <f t="shared" si="14"/>
        <v>0</v>
      </c>
      <c r="O22" s="75">
        <f t="shared" si="15"/>
        <v>0</v>
      </c>
      <c r="P22" s="75">
        <f t="shared" si="16"/>
        <v>0</v>
      </c>
    </row>
    <row r="23" spans="1:16" x14ac:dyDescent="0.2">
      <c r="A23" s="75">
        <v>150000.01</v>
      </c>
      <c r="B23" s="75">
        <v>500000</v>
      </c>
      <c r="H23" s="77">
        <v>0.05</v>
      </c>
      <c r="J23" s="75">
        <f t="shared" si="17"/>
        <v>1</v>
      </c>
      <c r="K23" s="75">
        <f t="shared" si="11"/>
        <v>0</v>
      </c>
      <c r="L23" s="75">
        <f t="shared" si="12"/>
        <v>0</v>
      </c>
      <c r="M23" s="75">
        <f t="shared" si="13"/>
        <v>0</v>
      </c>
      <c r="N23" s="79">
        <f t="shared" si="14"/>
        <v>0</v>
      </c>
      <c r="O23" s="75">
        <f t="shared" si="15"/>
        <v>0</v>
      </c>
      <c r="P23" s="75">
        <f t="shared" si="16"/>
        <v>0</v>
      </c>
    </row>
    <row r="24" spans="1:16" x14ac:dyDescent="0.2">
      <c r="A24" s="75">
        <v>500000.01</v>
      </c>
      <c r="B24" s="75">
        <v>750000</v>
      </c>
      <c r="C24" s="75">
        <v>25000</v>
      </c>
      <c r="D24" s="75">
        <v>25000</v>
      </c>
      <c r="E24" s="75">
        <f>D24-C24</f>
        <v>0</v>
      </c>
      <c r="F24" s="75">
        <f t="shared" ref="F24:F33" si="18">B24-A24</f>
        <v>249999.99</v>
      </c>
      <c r="G24" s="76">
        <f t="shared" ref="G24:G33" si="19">E24/F24</f>
        <v>0</v>
      </c>
      <c r="I24" s="78">
        <f>D24-(H24*B24)</f>
        <v>25000</v>
      </c>
      <c r="J24" s="75">
        <f t="shared" si="17"/>
        <v>1</v>
      </c>
      <c r="K24" s="75">
        <f t="shared" si="11"/>
        <v>0</v>
      </c>
      <c r="L24" s="75">
        <f>IF(K24+J24=2,100,0)</f>
        <v>0</v>
      </c>
      <c r="M24" s="75">
        <f>IF(L24=100,$J$19*H24+I24,0)</f>
        <v>0</v>
      </c>
      <c r="N24" s="79">
        <f>M24*2.4</f>
        <v>0</v>
      </c>
      <c r="O24" s="75">
        <f>N24*0.375</f>
        <v>0</v>
      </c>
      <c r="P24" s="75">
        <f>N24*0.3125</f>
        <v>0</v>
      </c>
    </row>
    <row r="25" spans="1:16" x14ac:dyDescent="0.2">
      <c r="A25" s="75">
        <v>750000.01</v>
      </c>
      <c r="B25" s="75">
        <v>1250000</v>
      </c>
      <c r="C25" s="75">
        <v>25000</v>
      </c>
      <c r="D25" s="75">
        <v>30000</v>
      </c>
      <c r="E25" s="75">
        <f t="shared" ref="E25:E31" si="20">D25-C25</f>
        <v>5000</v>
      </c>
      <c r="F25" s="75">
        <f t="shared" si="18"/>
        <v>499999.99</v>
      </c>
      <c r="G25" s="76">
        <f t="shared" si="19"/>
        <v>1.0000000200000005E-2</v>
      </c>
      <c r="H25" s="77">
        <f t="shared" ref="H25:H33" si="21">G25</f>
        <v>1.0000000200000005E-2</v>
      </c>
      <c r="I25" s="78">
        <f>D25-(H25*B25)</f>
        <v>17499.999749999995</v>
      </c>
      <c r="J25" s="75">
        <f t="shared" si="17"/>
        <v>1</v>
      </c>
      <c r="K25" s="75">
        <f t="shared" si="11"/>
        <v>0</v>
      </c>
      <c r="L25" s="75">
        <f t="shared" ref="L25:L30" si="22">IF(K25+J25=2,100,0)</f>
        <v>0</v>
      </c>
      <c r="M25" s="75">
        <f t="shared" ref="M25:M33" si="23">IF(L25=100,$J$19*H25+I25,0)</f>
        <v>0</v>
      </c>
      <c r="N25" s="79">
        <f t="shared" ref="N25:N33" si="24">M25*2.4</f>
        <v>0</v>
      </c>
      <c r="O25" s="75">
        <f t="shared" ref="O25:O33" si="25">N25*0.375</f>
        <v>0</v>
      </c>
      <c r="P25" s="75">
        <f t="shared" ref="P25:P30" si="26">N25*0.3125</f>
        <v>0</v>
      </c>
    </row>
    <row r="26" spans="1:16" x14ac:dyDescent="0.2">
      <c r="A26" s="75">
        <v>1250000.01</v>
      </c>
      <c r="B26" s="75">
        <v>2500000</v>
      </c>
      <c r="C26" s="75">
        <v>30000</v>
      </c>
      <c r="D26" s="75">
        <v>45000</v>
      </c>
      <c r="E26" s="75">
        <f t="shared" si="20"/>
        <v>15000</v>
      </c>
      <c r="F26" s="75">
        <f t="shared" si="18"/>
        <v>1249999.99</v>
      </c>
      <c r="G26" s="76">
        <f t="shared" si="19"/>
        <v>1.2000000096000002E-2</v>
      </c>
      <c r="H26" s="77">
        <f t="shared" si="21"/>
        <v>1.2000000096000002E-2</v>
      </c>
      <c r="I26" s="78">
        <f t="shared" ref="I26:I30" si="27">D26-(H26*B26)</f>
        <v>14999.999759999995</v>
      </c>
      <c r="J26" s="75">
        <f t="shared" si="17"/>
        <v>1</v>
      </c>
      <c r="K26" s="75">
        <f t="shared" si="11"/>
        <v>0</v>
      </c>
      <c r="L26" s="75">
        <f t="shared" si="22"/>
        <v>0</v>
      </c>
      <c r="M26" s="75">
        <f t="shared" si="23"/>
        <v>0</v>
      </c>
      <c r="N26" s="79">
        <f t="shared" si="24"/>
        <v>0</v>
      </c>
      <c r="O26" s="75">
        <f t="shared" si="25"/>
        <v>0</v>
      </c>
      <c r="P26" s="75">
        <f t="shared" si="26"/>
        <v>0</v>
      </c>
    </row>
    <row r="27" spans="1:16" x14ac:dyDescent="0.2">
      <c r="A27" s="75">
        <v>2500000.0099999998</v>
      </c>
      <c r="B27" s="75">
        <v>5000000</v>
      </c>
      <c r="C27" s="75">
        <v>45000</v>
      </c>
      <c r="D27" s="75">
        <v>75000</v>
      </c>
      <c r="E27" s="75">
        <f t="shared" si="20"/>
        <v>30000</v>
      </c>
      <c r="F27" s="75">
        <f t="shared" si="18"/>
        <v>2499999.9900000002</v>
      </c>
      <c r="G27" s="76">
        <f t="shared" si="19"/>
        <v>1.2000000047999998E-2</v>
      </c>
      <c r="H27" s="77">
        <f t="shared" si="21"/>
        <v>1.2000000047999998E-2</v>
      </c>
      <c r="I27" s="78">
        <f t="shared" si="27"/>
        <v>14999.999760000006</v>
      </c>
      <c r="J27" s="75">
        <f t="shared" si="17"/>
        <v>1</v>
      </c>
      <c r="K27" s="75">
        <f t="shared" si="11"/>
        <v>1</v>
      </c>
      <c r="L27" s="75">
        <f t="shared" si="22"/>
        <v>100</v>
      </c>
      <c r="M27" s="75">
        <f t="shared" si="23"/>
        <v>50999.999904000004</v>
      </c>
      <c r="N27" s="79">
        <f t="shared" si="24"/>
        <v>122399.99976960001</v>
      </c>
      <c r="O27" s="75">
        <f t="shared" si="25"/>
        <v>45899.999913600004</v>
      </c>
      <c r="P27" s="75">
        <f t="shared" si="26"/>
        <v>38249.999928000005</v>
      </c>
    </row>
    <row r="28" spans="1:16" x14ac:dyDescent="0.2">
      <c r="A28" s="75">
        <v>5000000.01</v>
      </c>
      <c r="B28" s="75">
        <v>10000000</v>
      </c>
      <c r="C28" s="75">
        <v>75000</v>
      </c>
      <c r="D28" s="75">
        <v>120000</v>
      </c>
      <c r="E28" s="75">
        <f t="shared" si="20"/>
        <v>45000</v>
      </c>
      <c r="F28" s="75">
        <f t="shared" si="18"/>
        <v>4999999.99</v>
      </c>
      <c r="G28" s="76">
        <f t="shared" si="19"/>
        <v>9.0000000180000001E-3</v>
      </c>
      <c r="H28" s="77">
        <f t="shared" si="21"/>
        <v>9.0000000180000001E-3</v>
      </c>
      <c r="I28" s="78">
        <f t="shared" si="27"/>
        <v>29999.999819999997</v>
      </c>
      <c r="J28" s="75">
        <f t="shared" si="17"/>
        <v>0</v>
      </c>
      <c r="K28" s="75">
        <f t="shared" si="11"/>
        <v>1</v>
      </c>
      <c r="L28" s="75">
        <f t="shared" si="22"/>
        <v>0</v>
      </c>
      <c r="M28" s="75">
        <f t="shared" si="23"/>
        <v>0</v>
      </c>
      <c r="N28" s="79">
        <f t="shared" si="24"/>
        <v>0</v>
      </c>
      <c r="O28" s="75">
        <f t="shared" si="25"/>
        <v>0</v>
      </c>
      <c r="P28" s="75">
        <f t="shared" si="26"/>
        <v>0</v>
      </c>
    </row>
    <row r="29" spans="1:16" x14ac:dyDescent="0.2">
      <c r="A29" s="75">
        <v>10000000.01</v>
      </c>
      <c r="B29" s="75">
        <v>20000000</v>
      </c>
      <c r="C29" s="75">
        <v>120000</v>
      </c>
      <c r="D29" s="75">
        <v>170000</v>
      </c>
      <c r="E29" s="75">
        <f t="shared" si="20"/>
        <v>50000</v>
      </c>
      <c r="F29" s="75">
        <f t="shared" si="18"/>
        <v>9999999.9900000002</v>
      </c>
      <c r="G29" s="76">
        <f t="shared" si="19"/>
        <v>5.0000000049999997E-3</v>
      </c>
      <c r="H29" s="77">
        <f t="shared" si="21"/>
        <v>5.0000000049999997E-3</v>
      </c>
      <c r="I29" s="78">
        <f t="shared" si="27"/>
        <v>69999.99990000001</v>
      </c>
      <c r="J29" s="75">
        <f t="shared" si="17"/>
        <v>0</v>
      </c>
      <c r="K29" s="75">
        <f t="shared" si="11"/>
        <v>1</v>
      </c>
      <c r="L29" s="75">
        <f t="shared" si="22"/>
        <v>0</v>
      </c>
      <c r="M29" s="75">
        <f t="shared" si="23"/>
        <v>0</v>
      </c>
      <c r="N29" s="79">
        <f t="shared" si="24"/>
        <v>0</v>
      </c>
      <c r="O29" s="75">
        <f t="shared" si="25"/>
        <v>0</v>
      </c>
      <c r="P29" s="75">
        <f t="shared" si="26"/>
        <v>0</v>
      </c>
    </row>
    <row r="30" spans="1:16" x14ac:dyDescent="0.2">
      <c r="A30" s="75">
        <v>20000000.010000002</v>
      </c>
      <c r="B30" s="75">
        <v>40000000</v>
      </c>
      <c r="C30" s="75">
        <v>170000</v>
      </c>
      <c r="D30" s="75">
        <v>200000</v>
      </c>
      <c r="E30" s="75">
        <f t="shared" si="20"/>
        <v>30000</v>
      </c>
      <c r="F30" s="75">
        <f t="shared" si="18"/>
        <v>19999999.989999998</v>
      </c>
      <c r="G30" s="76">
        <f t="shared" si="19"/>
        <v>1.5000000007500001E-3</v>
      </c>
      <c r="H30" s="77">
        <f t="shared" si="21"/>
        <v>1.5000000007500001E-3</v>
      </c>
      <c r="I30" s="78">
        <f t="shared" si="27"/>
        <v>139999.99997</v>
      </c>
      <c r="J30" s="75">
        <f t="shared" si="17"/>
        <v>0</v>
      </c>
      <c r="K30" s="75">
        <f t="shared" si="11"/>
        <v>1</v>
      </c>
      <c r="L30" s="75">
        <f t="shared" si="22"/>
        <v>0</v>
      </c>
      <c r="M30" s="75">
        <f t="shared" si="23"/>
        <v>0</v>
      </c>
      <c r="N30" s="79">
        <f t="shared" si="24"/>
        <v>0</v>
      </c>
      <c r="O30" s="75">
        <f t="shared" si="25"/>
        <v>0</v>
      </c>
      <c r="P30" s="75">
        <f t="shared" si="26"/>
        <v>0</v>
      </c>
    </row>
    <row r="31" spans="1:16" x14ac:dyDescent="0.2">
      <c r="A31" s="75">
        <v>40000000.009999998</v>
      </c>
      <c r="B31" s="75">
        <v>90000000</v>
      </c>
      <c r="C31" s="75">
        <v>200000</v>
      </c>
      <c r="D31" s="75">
        <v>250000</v>
      </c>
      <c r="E31" s="75">
        <f t="shared" si="20"/>
        <v>50000</v>
      </c>
      <c r="F31" s="75">
        <f t="shared" si="18"/>
        <v>49999999.990000002</v>
      </c>
      <c r="G31" s="76">
        <f t="shared" si="19"/>
        <v>1.0000000002E-3</v>
      </c>
      <c r="H31" s="77">
        <f t="shared" si="21"/>
        <v>1.0000000002E-3</v>
      </c>
      <c r="I31" s="78">
        <f t="shared" ref="I31" si="28">D31-(H31*B31)</f>
        <v>159999.99998200001</v>
      </c>
      <c r="J31" s="75">
        <f t="shared" si="17"/>
        <v>0</v>
      </c>
      <c r="K31" s="75">
        <f t="shared" si="11"/>
        <v>1</v>
      </c>
      <c r="L31" s="75">
        <f t="shared" ref="L31:L33" si="29">IF(K31+J31=2,100,0)</f>
        <v>0</v>
      </c>
      <c r="M31" s="75">
        <f t="shared" si="23"/>
        <v>0</v>
      </c>
      <c r="N31" s="79">
        <f t="shared" si="24"/>
        <v>0</v>
      </c>
      <c r="O31" s="75">
        <f t="shared" si="25"/>
        <v>0</v>
      </c>
      <c r="P31" s="75">
        <f t="shared" ref="P31:P33" si="30">N31*0.3125</f>
        <v>0</v>
      </c>
    </row>
    <row r="32" spans="1:16" x14ac:dyDescent="0.2">
      <c r="A32" s="75">
        <v>90000000.010000005</v>
      </c>
      <c r="B32" s="75">
        <v>150000000</v>
      </c>
      <c r="C32" s="75">
        <v>250000</v>
      </c>
      <c r="D32" s="75">
        <v>310000</v>
      </c>
      <c r="E32" s="75">
        <f t="shared" ref="E32" si="31">D32-C32</f>
        <v>60000</v>
      </c>
      <c r="F32" s="75">
        <f t="shared" si="18"/>
        <v>59999999.989999995</v>
      </c>
      <c r="G32" s="76">
        <f t="shared" si="19"/>
        <v>1.0000000001666668E-3</v>
      </c>
      <c r="H32" s="77">
        <f t="shared" si="21"/>
        <v>1.0000000001666668E-3</v>
      </c>
      <c r="I32" s="78">
        <f t="shared" ref="I32" si="32">D32-(H32*B32)</f>
        <v>159999.99997499998</v>
      </c>
      <c r="J32" s="75">
        <f t="shared" si="17"/>
        <v>0</v>
      </c>
      <c r="K32" s="75">
        <f t="shared" si="11"/>
        <v>1</v>
      </c>
      <c r="L32" s="75">
        <f t="shared" si="29"/>
        <v>0</v>
      </c>
      <c r="M32" s="75">
        <f t="shared" si="23"/>
        <v>0</v>
      </c>
      <c r="N32" s="79">
        <f t="shared" si="24"/>
        <v>0</v>
      </c>
      <c r="O32" s="75">
        <f t="shared" si="25"/>
        <v>0</v>
      </c>
      <c r="P32" s="75">
        <f t="shared" si="30"/>
        <v>0</v>
      </c>
    </row>
    <row r="33" spans="1:16" x14ac:dyDescent="0.2">
      <c r="A33" s="75">
        <v>150000000.00999999</v>
      </c>
      <c r="B33" s="75">
        <v>300000000</v>
      </c>
      <c r="C33" s="75">
        <v>310000</v>
      </c>
      <c r="D33" s="75">
        <v>340000</v>
      </c>
      <c r="E33" s="75">
        <f t="shared" ref="E33" si="33">D33-C33</f>
        <v>30000</v>
      </c>
      <c r="F33" s="75">
        <f t="shared" si="18"/>
        <v>149999999.99000001</v>
      </c>
      <c r="G33" s="76">
        <f t="shared" si="19"/>
        <v>2.0000000001333331E-4</v>
      </c>
      <c r="H33" s="77">
        <f t="shared" si="21"/>
        <v>2.0000000001333331E-4</v>
      </c>
      <c r="I33" s="78">
        <f t="shared" ref="I33" si="34">D33-(H33*B33)</f>
        <v>279999.99999600003</v>
      </c>
      <c r="J33" s="75">
        <f t="shared" si="17"/>
        <v>0</v>
      </c>
      <c r="K33" s="75">
        <f>IF($J$19&gt;=A33,1,0)</f>
        <v>0</v>
      </c>
      <c r="L33" s="75">
        <f t="shared" si="29"/>
        <v>0</v>
      </c>
      <c r="M33" s="75">
        <f t="shared" si="23"/>
        <v>0</v>
      </c>
      <c r="N33" s="79">
        <f t="shared" si="24"/>
        <v>0</v>
      </c>
      <c r="O33" s="75">
        <f t="shared" si="25"/>
        <v>0</v>
      </c>
      <c r="P33" s="75">
        <f t="shared" si="30"/>
        <v>0</v>
      </c>
    </row>
    <row r="36" spans="1:16" x14ac:dyDescent="0.2">
      <c r="M36" s="78">
        <f>(MAX(M37:M50))</f>
        <v>7500</v>
      </c>
    </row>
    <row r="37" spans="1:16" x14ac:dyDescent="0.2">
      <c r="H37" s="77" t="s">
        <v>104</v>
      </c>
    </row>
    <row r="38" spans="1:16" x14ac:dyDescent="0.2">
      <c r="A38" s="75">
        <v>0</v>
      </c>
      <c r="B38" s="75">
        <v>75000</v>
      </c>
      <c r="I38" s="78">
        <v>1000</v>
      </c>
      <c r="J38" s="75">
        <f t="shared" ref="J38:J50" si="35">IF($J$19&gt;=A38,1,0)</f>
        <v>1</v>
      </c>
      <c r="K38" s="75">
        <f>IF($J$19&lt;=B38,1,0)</f>
        <v>0</v>
      </c>
      <c r="L38" s="75">
        <f t="shared" ref="L38:L40" si="36">IF(K38+J38=2,100,0)</f>
        <v>0</v>
      </c>
      <c r="M38" s="75">
        <f t="shared" ref="M38:M40" si="37">IF(L38=100,$J$19*H38+I38,0)</f>
        <v>0</v>
      </c>
    </row>
    <row r="39" spans="1:16" x14ac:dyDescent="0.2">
      <c r="A39" s="75">
        <v>75000.009999999995</v>
      </c>
      <c r="B39" s="75">
        <v>150000</v>
      </c>
      <c r="I39" s="78">
        <v>1000</v>
      </c>
      <c r="J39" s="75">
        <f t="shared" si="35"/>
        <v>1</v>
      </c>
      <c r="K39" s="75">
        <f t="shared" ref="K39:K49" si="38">IF($J$19&lt;=B39,1,0)</f>
        <v>0</v>
      </c>
      <c r="L39" s="75">
        <f t="shared" si="36"/>
        <v>0</v>
      </c>
      <c r="M39" s="75">
        <f t="shared" si="37"/>
        <v>0</v>
      </c>
    </row>
    <row r="40" spans="1:16" x14ac:dyDescent="0.2">
      <c r="A40" s="75">
        <v>150000.01</v>
      </c>
      <c r="B40" s="75">
        <v>500000</v>
      </c>
      <c r="I40" s="78">
        <v>2000</v>
      </c>
      <c r="J40" s="75">
        <f t="shared" si="35"/>
        <v>1</v>
      </c>
      <c r="K40" s="75">
        <f t="shared" si="38"/>
        <v>0</v>
      </c>
      <c r="L40" s="75">
        <f t="shared" si="36"/>
        <v>0</v>
      </c>
      <c r="M40" s="75">
        <f t="shared" si="37"/>
        <v>0</v>
      </c>
    </row>
    <row r="41" spans="1:16" x14ac:dyDescent="0.2">
      <c r="A41" s="75">
        <v>500000.01</v>
      </c>
      <c r="B41" s="75">
        <v>750000</v>
      </c>
      <c r="I41" s="78">
        <v>2500</v>
      </c>
      <c r="J41" s="75">
        <f t="shared" si="35"/>
        <v>1</v>
      </c>
      <c r="K41" s="75">
        <f t="shared" si="38"/>
        <v>0</v>
      </c>
      <c r="L41" s="75">
        <f>IF(K41+J41=2,100,0)</f>
        <v>0</v>
      </c>
      <c r="M41" s="75">
        <f>IF(L41=100,$J$19*H41+I41,0)</f>
        <v>0</v>
      </c>
    </row>
    <row r="42" spans="1:16" x14ac:dyDescent="0.2">
      <c r="A42" s="75">
        <v>750000.01</v>
      </c>
      <c r="B42" s="75">
        <v>1250000</v>
      </c>
      <c r="I42" s="78">
        <v>3000</v>
      </c>
      <c r="J42" s="75">
        <f t="shared" si="35"/>
        <v>1</v>
      </c>
      <c r="K42" s="75">
        <f t="shared" si="38"/>
        <v>0</v>
      </c>
      <c r="L42" s="75">
        <f t="shared" ref="L42:L50" si="39">IF(K42+J42=2,100,0)</f>
        <v>0</v>
      </c>
      <c r="M42" s="75">
        <f t="shared" ref="M42:M50" si="40">IF(L42=100,$J$19*H42+I42,0)</f>
        <v>0</v>
      </c>
    </row>
    <row r="43" spans="1:16" x14ac:dyDescent="0.2">
      <c r="A43" s="75">
        <v>1250000.01</v>
      </c>
      <c r="B43" s="75">
        <v>2500000</v>
      </c>
      <c r="I43" s="78">
        <v>5000</v>
      </c>
      <c r="J43" s="75">
        <f t="shared" si="35"/>
        <v>1</v>
      </c>
      <c r="K43" s="75">
        <f t="shared" si="38"/>
        <v>0</v>
      </c>
      <c r="L43" s="75">
        <f t="shared" si="39"/>
        <v>0</v>
      </c>
      <c r="M43" s="75">
        <f t="shared" si="40"/>
        <v>0</v>
      </c>
    </row>
    <row r="44" spans="1:16" x14ac:dyDescent="0.2">
      <c r="A44" s="75">
        <v>2500000.0099999998</v>
      </c>
      <c r="B44" s="75">
        <v>5000000</v>
      </c>
      <c r="I44" s="78">
        <v>7500</v>
      </c>
      <c r="J44" s="75">
        <f t="shared" si="35"/>
        <v>1</v>
      </c>
      <c r="K44" s="75">
        <f t="shared" si="38"/>
        <v>1</v>
      </c>
      <c r="L44" s="75">
        <f t="shared" si="39"/>
        <v>100</v>
      </c>
      <c r="M44" s="75">
        <f t="shared" si="40"/>
        <v>7500</v>
      </c>
    </row>
    <row r="45" spans="1:16" x14ac:dyDescent="0.2">
      <c r="A45" s="75">
        <v>5000000.01</v>
      </c>
      <c r="B45" s="75">
        <v>10000000</v>
      </c>
      <c r="I45" s="78">
        <v>10000</v>
      </c>
      <c r="J45" s="75">
        <f t="shared" si="35"/>
        <v>0</v>
      </c>
      <c r="K45" s="75">
        <f t="shared" si="38"/>
        <v>1</v>
      </c>
      <c r="L45" s="75">
        <f t="shared" si="39"/>
        <v>0</v>
      </c>
      <c r="M45" s="75">
        <f t="shared" si="40"/>
        <v>0</v>
      </c>
    </row>
    <row r="46" spans="1:16" x14ac:dyDescent="0.2">
      <c r="A46" s="75">
        <v>10000000.01</v>
      </c>
      <c r="B46" s="75">
        <v>20000000</v>
      </c>
      <c r="I46" s="78">
        <v>20000</v>
      </c>
      <c r="J46" s="75">
        <f t="shared" si="35"/>
        <v>0</v>
      </c>
      <c r="K46" s="75">
        <f t="shared" si="38"/>
        <v>1</v>
      </c>
      <c r="L46" s="75">
        <f t="shared" si="39"/>
        <v>0</v>
      </c>
      <c r="M46" s="75">
        <f t="shared" si="40"/>
        <v>0</v>
      </c>
    </row>
    <row r="47" spans="1:16" x14ac:dyDescent="0.2">
      <c r="A47" s="75">
        <v>20000000.010000002</v>
      </c>
      <c r="B47" s="75">
        <v>40000000</v>
      </c>
      <c r="I47" s="78">
        <v>20000</v>
      </c>
      <c r="J47" s="75">
        <f t="shared" si="35"/>
        <v>0</v>
      </c>
      <c r="K47" s="75">
        <f t="shared" si="38"/>
        <v>1</v>
      </c>
      <c r="L47" s="75">
        <f t="shared" si="39"/>
        <v>0</v>
      </c>
      <c r="M47" s="75">
        <f t="shared" si="40"/>
        <v>0</v>
      </c>
    </row>
    <row r="48" spans="1:16" x14ac:dyDescent="0.2">
      <c r="A48" s="75">
        <v>40000000.009999998</v>
      </c>
      <c r="B48" s="75">
        <v>90000000</v>
      </c>
      <c r="I48" s="78">
        <v>20000</v>
      </c>
      <c r="J48" s="75">
        <f t="shared" si="35"/>
        <v>0</v>
      </c>
      <c r="K48" s="75">
        <f t="shared" si="38"/>
        <v>1</v>
      </c>
      <c r="L48" s="75">
        <f t="shared" si="39"/>
        <v>0</v>
      </c>
      <c r="M48" s="75">
        <f t="shared" si="40"/>
        <v>0</v>
      </c>
    </row>
    <row r="49" spans="1:13" x14ac:dyDescent="0.2">
      <c r="A49" s="75">
        <v>90000000.010000005</v>
      </c>
      <c r="B49" s="75">
        <v>150000000</v>
      </c>
      <c r="I49" s="78">
        <v>20000</v>
      </c>
      <c r="J49" s="75">
        <f t="shared" si="35"/>
        <v>0</v>
      </c>
      <c r="K49" s="75">
        <f t="shared" si="38"/>
        <v>1</v>
      </c>
      <c r="L49" s="75">
        <f t="shared" si="39"/>
        <v>0</v>
      </c>
      <c r="M49" s="75">
        <f t="shared" si="40"/>
        <v>0</v>
      </c>
    </row>
    <row r="50" spans="1:13" x14ac:dyDescent="0.2">
      <c r="A50" s="75">
        <v>150000000.00999999</v>
      </c>
      <c r="B50" s="75">
        <v>300000000</v>
      </c>
      <c r="I50" s="78">
        <v>20000</v>
      </c>
      <c r="J50" s="75">
        <f t="shared" si="35"/>
        <v>0</v>
      </c>
      <c r="K50" s="75">
        <f>IF($J$19&gt;=A50,1,0)</f>
        <v>0</v>
      </c>
      <c r="L50" s="75">
        <f t="shared" si="39"/>
        <v>0</v>
      </c>
      <c r="M50" s="75">
        <f t="shared" si="4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activeCell="A27" sqref="A27"/>
    </sheetView>
  </sheetViews>
  <sheetFormatPr baseColWidth="10" defaultColWidth="8.83203125" defaultRowHeight="15" x14ac:dyDescent="0.2"/>
  <cols>
    <col min="2" max="2" width="29" customWidth="1"/>
    <col min="3" max="3" width="14.1640625" customWidth="1"/>
    <col min="4" max="6" width="20.5" bestFit="1" customWidth="1"/>
    <col min="7" max="7" width="11" customWidth="1"/>
  </cols>
  <sheetData>
    <row r="1" spans="1:10" x14ac:dyDescent="0.2">
      <c r="B1" s="142" t="s">
        <v>22</v>
      </c>
      <c r="C1" s="142"/>
      <c r="D1" s="142"/>
      <c r="E1" s="142"/>
      <c r="F1" s="142"/>
      <c r="G1" s="142"/>
      <c r="J1" s="1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"/>
    </row>
    <row r="3" spans="1:10" x14ac:dyDescent="0.2">
      <c r="B3" s="192" t="s">
        <v>26</v>
      </c>
      <c r="C3" s="192"/>
      <c r="D3" s="192"/>
      <c r="E3" s="192"/>
      <c r="F3" s="192"/>
      <c r="G3" s="192"/>
      <c r="J3" s="1"/>
    </row>
    <row r="4" spans="1:10" s="13" customFormat="1" ht="48" x14ac:dyDescent="0.2">
      <c r="B4" s="5" t="s">
        <v>29</v>
      </c>
      <c r="C4" s="5" t="s">
        <v>48</v>
      </c>
      <c r="D4" s="5" t="s">
        <v>16</v>
      </c>
      <c r="E4" s="5" t="s">
        <v>15</v>
      </c>
      <c r="F4" s="5" t="s">
        <v>20</v>
      </c>
      <c r="G4" s="5" t="s">
        <v>19</v>
      </c>
      <c r="J4" s="14"/>
    </row>
    <row r="5" spans="1:10" x14ac:dyDescent="0.2">
      <c r="A5" s="2"/>
      <c r="B5" s="17" t="s">
        <v>27</v>
      </c>
      <c r="C5" s="17" t="s">
        <v>49</v>
      </c>
      <c r="D5" s="15">
        <v>550</v>
      </c>
      <c r="E5" s="15">
        <v>1250</v>
      </c>
      <c r="F5" s="16">
        <v>2200</v>
      </c>
      <c r="G5" s="17" t="s">
        <v>10</v>
      </c>
      <c r="I5" s="1"/>
      <c r="J5" s="1"/>
    </row>
    <row r="6" spans="1:10" x14ac:dyDescent="0.2">
      <c r="A6" s="2"/>
      <c r="B6" s="17" t="s">
        <v>27</v>
      </c>
      <c r="C6" s="17" t="s">
        <v>50</v>
      </c>
      <c r="D6" s="15">
        <v>550</v>
      </c>
      <c r="E6" s="15" t="s">
        <v>28</v>
      </c>
      <c r="F6" s="16">
        <v>2200</v>
      </c>
      <c r="G6" s="17" t="s">
        <v>10</v>
      </c>
      <c r="I6" s="1"/>
      <c r="J6" s="1"/>
    </row>
    <row r="7" spans="1:10" x14ac:dyDescent="0.2">
      <c r="B7" s="17" t="s">
        <v>51</v>
      </c>
      <c r="C7" s="17" t="s">
        <v>49</v>
      </c>
      <c r="D7" s="16" t="s">
        <v>53</v>
      </c>
      <c r="E7" s="16" t="s">
        <v>55</v>
      </c>
      <c r="F7" s="16" t="s">
        <v>54</v>
      </c>
      <c r="G7" s="17" t="s">
        <v>10</v>
      </c>
    </row>
    <row r="8" spans="1:10" x14ac:dyDescent="0.2">
      <c r="B8" s="17" t="s">
        <v>51</v>
      </c>
      <c r="C8" s="17" t="s">
        <v>50</v>
      </c>
      <c r="D8" s="15">
        <v>550</v>
      </c>
      <c r="E8" s="15">
        <v>1250</v>
      </c>
      <c r="F8" s="16" t="s">
        <v>54</v>
      </c>
      <c r="G8" s="17" t="s">
        <v>10</v>
      </c>
    </row>
    <row r="11" spans="1:10" x14ac:dyDescent="0.2">
      <c r="B11" s="193" t="s">
        <v>52</v>
      </c>
      <c r="C11" s="193"/>
      <c r="D11" s="193"/>
      <c r="E11" s="193"/>
      <c r="F11" s="193"/>
      <c r="G11" s="193"/>
    </row>
  </sheetData>
  <mergeCells count="3">
    <mergeCell ref="B1:G1"/>
    <mergeCell ref="B3:G3"/>
    <mergeCell ref="B11:G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7"/>
  <sheetViews>
    <sheetView zoomScale="85" zoomScaleNormal="85" workbookViewId="0">
      <selection activeCell="I17" sqref="I17"/>
    </sheetView>
  </sheetViews>
  <sheetFormatPr baseColWidth="10" defaultColWidth="8.83203125" defaultRowHeight="15" x14ac:dyDescent="0.2"/>
  <cols>
    <col min="1" max="1" width="8.83203125" style="1"/>
    <col min="2" max="2" width="15.83203125" style="1" bestFit="1" customWidth="1"/>
    <col min="3" max="3" width="35.83203125" style="1" customWidth="1"/>
    <col min="4" max="4" width="15.33203125" style="1" customWidth="1"/>
    <col min="5" max="5" width="15.83203125" style="1" bestFit="1" customWidth="1"/>
    <col min="6" max="6" width="15.83203125" style="1" customWidth="1"/>
    <col min="7" max="7" width="17.5" style="1" customWidth="1"/>
    <col min="8" max="8" width="19.83203125" style="25" bestFit="1" customWidth="1"/>
    <col min="9" max="9" width="13.33203125" style="1" bestFit="1" customWidth="1"/>
    <col min="10" max="10" width="11.33203125" style="1" bestFit="1" customWidth="1"/>
    <col min="11" max="12" width="12.33203125" style="1" bestFit="1" customWidth="1"/>
    <col min="13" max="13" width="13.33203125" style="1" bestFit="1" customWidth="1"/>
    <col min="14" max="14" width="8.83203125" style="1"/>
    <col min="15" max="16" width="12.33203125" style="1" bestFit="1" customWidth="1"/>
    <col min="17" max="16384" width="8.83203125" style="1"/>
  </cols>
  <sheetData>
    <row r="2" spans="2:12" x14ac:dyDescent="0.2">
      <c r="B2" s="1">
        <f>Calculadora!B2</f>
        <v>3000000</v>
      </c>
    </row>
    <row r="3" spans="2:12" x14ac:dyDescent="0.2">
      <c r="I3" s="14"/>
      <c r="J3" s="14"/>
      <c r="K3" s="14"/>
    </row>
    <row r="4" spans="2:12" x14ac:dyDescent="0.2">
      <c r="C4" s="202" t="s">
        <v>21</v>
      </c>
      <c r="D4" s="203"/>
      <c r="E4" s="203"/>
      <c r="F4" s="203"/>
      <c r="G4" s="204"/>
      <c r="I4" s="1">
        <f>SUM(I5:I14)</f>
        <v>7500</v>
      </c>
      <c r="J4" s="1">
        <f>SUM(J5:J14)</f>
        <v>30000</v>
      </c>
      <c r="K4" s="1">
        <f>SUM(K5:K14)</f>
        <v>52500</v>
      </c>
      <c r="L4" s="1">
        <f>SUM(L5:L14)</f>
        <v>131250</v>
      </c>
    </row>
    <row r="5" spans="2:12" s="14" customFormat="1" ht="32" x14ac:dyDescent="0.2">
      <c r="B5" s="22" t="s">
        <v>17</v>
      </c>
      <c r="C5" s="22"/>
      <c r="D5" s="22" t="s">
        <v>16</v>
      </c>
      <c r="E5" s="22" t="s">
        <v>15</v>
      </c>
      <c r="F5" s="22" t="s">
        <v>20</v>
      </c>
      <c r="G5" s="22" t="s">
        <v>56</v>
      </c>
      <c r="H5" s="14" t="s">
        <v>57</v>
      </c>
      <c r="I5" s="14" t="s">
        <v>58</v>
      </c>
      <c r="J5" s="14" t="s">
        <v>59</v>
      </c>
      <c r="K5" s="14" t="s">
        <v>60</v>
      </c>
      <c r="L5" s="14" t="s">
        <v>61</v>
      </c>
    </row>
    <row r="6" spans="2:12" x14ac:dyDescent="0.2">
      <c r="B6" s="24">
        <v>0</v>
      </c>
      <c r="C6" s="12">
        <v>75000</v>
      </c>
      <c r="D6" s="23">
        <v>1000</v>
      </c>
      <c r="E6" s="23">
        <v>1500</v>
      </c>
      <c r="F6" s="1">
        <v>4500</v>
      </c>
      <c r="G6" s="1">
        <v>12500</v>
      </c>
      <c r="H6" s="25" t="str">
        <f t="shared" ref="H6:H18" si="0">IF(AND($B$2&gt;B6,$B$2&lt;=C6),"Yes","No")</f>
        <v>No</v>
      </c>
      <c r="I6" s="1">
        <f>IF(H6="Yes",D6,0)</f>
        <v>0</v>
      </c>
      <c r="J6" s="1">
        <f>IF(H6="Yes",E6,0)</f>
        <v>0</v>
      </c>
      <c r="K6" s="1">
        <f>IF(H6="Yes",F6,0)</f>
        <v>0</v>
      </c>
      <c r="L6" s="1">
        <f>IF(H6="Yes",G6,0)</f>
        <v>0</v>
      </c>
    </row>
    <row r="7" spans="2:12" x14ac:dyDescent="0.2">
      <c r="B7" s="3">
        <f>C6+0.01</f>
        <v>75000.009999999995</v>
      </c>
      <c r="C7" s="3">
        <v>150000</v>
      </c>
      <c r="D7" s="19">
        <v>1000</v>
      </c>
      <c r="E7" s="19">
        <v>2500</v>
      </c>
      <c r="F7" s="1">
        <v>7000</v>
      </c>
      <c r="G7" s="1">
        <v>18000</v>
      </c>
      <c r="H7" s="25" t="str">
        <f t="shared" si="0"/>
        <v>No</v>
      </c>
      <c r="I7" s="1">
        <f t="shared" ref="I7:I14" si="1">IF(H7="Yes",D7,0)</f>
        <v>0</v>
      </c>
      <c r="J7" s="1">
        <f t="shared" ref="J7:J14" si="2">IF(H7="Yes",E7,0)</f>
        <v>0</v>
      </c>
      <c r="K7" s="1">
        <f t="shared" ref="K7:K14" si="3">IF(H7="Yes",F7,0)</f>
        <v>0</v>
      </c>
      <c r="L7" s="1">
        <f t="shared" ref="L7:L14" si="4">IF(H7="Yes",G7,0)</f>
        <v>0</v>
      </c>
    </row>
    <row r="8" spans="2:12" x14ac:dyDescent="0.2">
      <c r="B8" s="3">
        <f t="shared" ref="B8:B14" si="5">C7+0.01</f>
        <v>150000.01</v>
      </c>
      <c r="C8" s="3">
        <v>500000</v>
      </c>
      <c r="D8" s="19">
        <v>2000</v>
      </c>
      <c r="E8" s="19">
        <f>2%*B2</f>
        <v>60000</v>
      </c>
      <c r="F8" s="1">
        <f>5%*B2</f>
        <v>150000</v>
      </c>
      <c r="G8" s="1">
        <f>B2*13%</f>
        <v>390000</v>
      </c>
      <c r="H8" s="25" t="str">
        <f t="shared" si="0"/>
        <v>No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</row>
    <row r="9" spans="2:12" x14ac:dyDescent="0.2">
      <c r="B9" s="3">
        <f t="shared" si="5"/>
        <v>500000.01</v>
      </c>
      <c r="C9" s="11">
        <v>800000</v>
      </c>
      <c r="D9" s="30">
        <v>2500</v>
      </c>
      <c r="E9" s="11">
        <v>10000</v>
      </c>
      <c r="F9" s="1">
        <f>350*70</f>
        <v>24500</v>
      </c>
      <c r="G9" s="20">
        <v>57750</v>
      </c>
      <c r="H9" s="25" t="str">
        <f t="shared" si="0"/>
        <v>No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</row>
    <row r="10" spans="2:12" x14ac:dyDescent="0.2">
      <c r="B10" s="3">
        <f t="shared" si="5"/>
        <v>800000.01</v>
      </c>
      <c r="C10" s="11">
        <v>1200000</v>
      </c>
      <c r="D10" s="30">
        <v>3000</v>
      </c>
      <c r="E10" s="11">
        <v>15000</v>
      </c>
      <c r="F10" s="1">
        <f>400*80</f>
        <v>32000</v>
      </c>
      <c r="G10" s="20">
        <v>72000</v>
      </c>
      <c r="H10" s="25" t="str">
        <f t="shared" si="0"/>
        <v>No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</row>
    <row r="11" spans="2:12" x14ac:dyDescent="0.2">
      <c r="B11" s="3">
        <f t="shared" si="5"/>
        <v>1200000.01</v>
      </c>
      <c r="C11" s="8">
        <v>2500000</v>
      </c>
      <c r="D11" s="31">
        <v>5000</v>
      </c>
      <c r="E11" s="8">
        <v>20000</v>
      </c>
      <c r="F11" s="1">
        <f>500*90</f>
        <v>45000</v>
      </c>
      <c r="G11" s="20">
        <v>110000</v>
      </c>
      <c r="H11" s="25" t="str">
        <f t="shared" si="0"/>
        <v>No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</row>
    <row r="12" spans="2:12" x14ac:dyDescent="0.2">
      <c r="B12" s="3">
        <f t="shared" si="5"/>
        <v>2500000.0099999998</v>
      </c>
      <c r="C12" s="8">
        <v>5000000</v>
      </c>
      <c r="D12" s="31">
        <v>7500</v>
      </c>
      <c r="E12" s="8">
        <v>30000</v>
      </c>
      <c r="F12" s="1">
        <f>525*100</f>
        <v>52500</v>
      </c>
      <c r="G12" s="20">
        <v>131250</v>
      </c>
      <c r="H12" s="25" t="str">
        <f t="shared" si="0"/>
        <v>Yes</v>
      </c>
      <c r="I12" s="1">
        <f t="shared" si="1"/>
        <v>7500</v>
      </c>
      <c r="J12" s="1">
        <f t="shared" si="2"/>
        <v>30000</v>
      </c>
      <c r="K12" s="1">
        <f t="shared" si="3"/>
        <v>52500</v>
      </c>
      <c r="L12" s="1">
        <f t="shared" si="4"/>
        <v>131250</v>
      </c>
    </row>
    <row r="13" spans="2:12" x14ac:dyDescent="0.2">
      <c r="B13" s="3">
        <f t="shared" si="5"/>
        <v>5000000.01</v>
      </c>
      <c r="C13" s="7">
        <v>15000000</v>
      </c>
      <c r="D13" s="32">
        <v>10000</v>
      </c>
      <c r="E13" s="7">
        <v>40000</v>
      </c>
      <c r="F13" s="1">
        <f>600*100</f>
        <v>60000</v>
      </c>
      <c r="G13" s="20">
        <v>168000</v>
      </c>
      <c r="H13" s="25" t="str">
        <f t="shared" si="0"/>
        <v>No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</row>
    <row r="14" spans="2:12" x14ac:dyDescent="0.2">
      <c r="B14" s="3">
        <f t="shared" si="5"/>
        <v>15000000.01</v>
      </c>
      <c r="C14" s="6">
        <v>10000000000</v>
      </c>
      <c r="D14" s="33">
        <v>20000</v>
      </c>
      <c r="E14" s="6">
        <v>50000</v>
      </c>
      <c r="F14" s="1">
        <f>700*120</f>
        <v>84000</v>
      </c>
      <c r="G14" s="20">
        <v>224000</v>
      </c>
      <c r="H14" s="25" t="str">
        <f t="shared" si="0"/>
        <v>No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</row>
    <row r="15" spans="2:12" s="26" customFormat="1" x14ac:dyDescent="0.2">
      <c r="B15" s="26">
        <v>0</v>
      </c>
      <c r="C15" s="26">
        <v>45000</v>
      </c>
      <c r="D15" s="26">
        <v>550</v>
      </c>
      <c r="E15" s="26">
        <v>1250</v>
      </c>
      <c r="F15" s="26">
        <v>2200</v>
      </c>
      <c r="H15" s="34" t="str">
        <f t="shared" si="0"/>
        <v>No</v>
      </c>
      <c r="I15" s="26">
        <f t="shared" ref="I15:I18" si="6">IF(H15="Yes",D15,0)</f>
        <v>0</v>
      </c>
      <c r="J15" s="26">
        <f t="shared" ref="J15:J18" si="7">IF(H15="Yes",E15,0)</f>
        <v>0</v>
      </c>
      <c r="K15" s="26">
        <f t="shared" ref="K15:K18" si="8">IF(H15="Yes",F15,0)</f>
        <v>0</v>
      </c>
      <c r="L15" s="26">
        <f t="shared" ref="L15:L18" si="9">IF(H15="Yes",G15,0)</f>
        <v>0</v>
      </c>
    </row>
    <row r="16" spans="2:12" s="26" customFormat="1" x14ac:dyDescent="0.2">
      <c r="B16" s="26">
        <v>45000.01</v>
      </c>
      <c r="C16" s="26">
        <v>150000</v>
      </c>
      <c r="D16" s="26">
        <v>1000</v>
      </c>
      <c r="E16" s="26">
        <f>90%*J4</f>
        <v>27000</v>
      </c>
      <c r="F16" s="26">
        <f>85%*K4</f>
        <v>44625</v>
      </c>
      <c r="H16" s="34" t="str">
        <f t="shared" si="0"/>
        <v>No</v>
      </c>
      <c r="I16" s="26">
        <f t="shared" si="6"/>
        <v>0</v>
      </c>
      <c r="J16" s="26">
        <f t="shared" si="7"/>
        <v>0</v>
      </c>
      <c r="K16" s="26">
        <f t="shared" si="8"/>
        <v>0</v>
      </c>
      <c r="L16" s="26">
        <f t="shared" si="9"/>
        <v>0</v>
      </c>
    </row>
    <row r="17" spans="2:16" s="29" customFormat="1" x14ac:dyDescent="0.2">
      <c r="B17" s="29">
        <v>0</v>
      </c>
      <c r="C17" s="29">
        <v>45000</v>
      </c>
      <c r="D17" s="29">
        <v>550</v>
      </c>
      <c r="E17" s="29">
        <v>0</v>
      </c>
      <c r="F17" s="29">
        <v>2200</v>
      </c>
      <c r="H17" s="35" t="str">
        <f t="shared" si="0"/>
        <v>No</v>
      </c>
      <c r="I17" s="29">
        <f t="shared" si="6"/>
        <v>0</v>
      </c>
      <c r="J17" s="29">
        <f t="shared" si="7"/>
        <v>0</v>
      </c>
      <c r="K17" s="29">
        <f t="shared" si="8"/>
        <v>0</v>
      </c>
      <c r="L17" s="29">
        <f t="shared" si="9"/>
        <v>0</v>
      </c>
    </row>
    <row r="18" spans="2:16" s="29" customFormat="1" x14ac:dyDescent="0.2">
      <c r="B18" s="29">
        <v>45000.01</v>
      </c>
      <c r="C18" s="29">
        <v>150000</v>
      </c>
      <c r="D18" s="29">
        <v>550</v>
      </c>
      <c r="E18" s="29">
        <v>1250</v>
      </c>
      <c r="F18" s="29">
        <f>85%*K4</f>
        <v>44625</v>
      </c>
      <c r="H18" s="35" t="str">
        <f t="shared" si="0"/>
        <v>No</v>
      </c>
      <c r="I18" s="29">
        <f t="shared" si="6"/>
        <v>0</v>
      </c>
      <c r="J18" s="29">
        <f t="shared" si="7"/>
        <v>0</v>
      </c>
      <c r="K18" s="29">
        <f t="shared" si="8"/>
        <v>0</v>
      </c>
      <c r="L18" s="29">
        <f t="shared" si="9"/>
        <v>0</v>
      </c>
    </row>
    <row r="19" spans="2:16" ht="16" x14ac:dyDescent="0.2">
      <c r="I19" s="14" t="s">
        <v>58</v>
      </c>
      <c r="J19" s="14" t="s">
        <v>59</v>
      </c>
      <c r="K19" s="14" t="s">
        <v>60</v>
      </c>
    </row>
    <row r="20" spans="2:16" x14ac:dyDescent="0.2">
      <c r="H20" s="25" t="s">
        <v>65</v>
      </c>
      <c r="I20" s="26">
        <f>I15+I16</f>
        <v>0</v>
      </c>
      <c r="J20" s="26">
        <f t="shared" ref="J20:K20" si="10">J15+J16</f>
        <v>0</v>
      </c>
      <c r="K20" s="26">
        <f t="shared" si="10"/>
        <v>0</v>
      </c>
      <c r="L20" s="26"/>
    </row>
    <row r="21" spans="2:16" x14ac:dyDescent="0.2">
      <c r="H21" s="25" t="s">
        <v>66</v>
      </c>
      <c r="I21" s="29">
        <f>I17+I18</f>
        <v>0</v>
      </c>
      <c r="J21" s="29">
        <f t="shared" ref="J21:K21" si="11">J17+J18</f>
        <v>0</v>
      </c>
      <c r="K21" s="29">
        <f t="shared" si="11"/>
        <v>0</v>
      </c>
      <c r="L21" s="29"/>
    </row>
    <row r="22" spans="2:16" x14ac:dyDescent="0.2">
      <c r="C22" s="202" t="s">
        <v>18</v>
      </c>
      <c r="D22" s="203"/>
      <c r="E22" s="203"/>
      <c r="F22" s="203"/>
      <c r="G22" s="203"/>
      <c r="H22" s="204"/>
    </row>
    <row r="23" spans="2:16" ht="48" x14ac:dyDescent="0.2">
      <c r="B23" s="22" t="s">
        <v>17</v>
      </c>
      <c r="C23" s="22"/>
      <c r="D23" s="22" t="s">
        <v>16</v>
      </c>
      <c r="E23" s="22" t="s">
        <v>15</v>
      </c>
      <c r="F23" s="22" t="s">
        <v>14</v>
      </c>
      <c r="G23" s="22" t="s">
        <v>13</v>
      </c>
      <c r="H23" s="22" t="s">
        <v>12</v>
      </c>
    </row>
    <row r="24" spans="2:16" x14ac:dyDescent="0.2">
      <c r="B24" s="24">
        <v>0</v>
      </c>
      <c r="C24" s="12" t="s">
        <v>23</v>
      </c>
      <c r="D24" s="23">
        <v>1000</v>
      </c>
      <c r="E24" s="23">
        <v>1500</v>
      </c>
      <c r="F24" s="4">
        <v>12500</v>
      </c>
      <c r="G24" s="4">
        <v>4500</v>
      </c>
      <c r="H24" s="36" t="s">
        <v>10</v>
      </c>
    </row>
    <row r="25" spans="2:16" x14ac:dyDescent="0.2">
      <c r="B25" s="195" t="s">
        <v>11</v>
      </c>
      <c r="C25" s="3" t="s">
        <v>24</v>
      </c>
      <c r="D25" s="19">
        <v>1000</v>
      </c>
      <c r="E25" s="19">
        <v>2500</v>
      </c>
      <c r="F25" s="3">
        <v>18000</v>
      </c>
      <c r="G25" s="3">
        <v>6500</v>
      </c>
      <c r="H25" s="19" t="s">
        <v>10</v>
      </c>
    </row>
    <row r="26" spans="2:16" s="20" customFormat="1" ht="16" x14ac:dyDescent="0.2">
      <c r="B26" s="195"/>
      <c r="C26" s="3" t="s">
        <v>37</v>
      </c>
      <c r="D26" s="19">
        <v>2000</v>
      </c>
      <c r="E26" s="19" t="s">
        <v>7</v>
      </c>
      <c r="F26" s="37" t="s">
        <v>40</v>
      </c>
      <c r="G26" s="38" t="s">
        <v>41</v>
      </c>
      <c r="H26" s="37" t="s">
        <v>10</v>
      </c>
    </row>
    <row r="27" spans="2:16" s="20" customFormat="1" ht="32" x14ac:dyDescent="0.2">
      <c r="B27" s="196" t="s">
        <v>9</v>
      </c>
      <c r="C27" s="11" t="s">
        <v>38</v>
      </c>
      <c r="D27" s="30">
        <v>2500</v>
      </c>
      <c r="E27" s="11">
        <v>10000</v>
      </c>
      <c r="F27" s="197" t="s">
        <v>31</v>
      </c>
      <c r="G27" s="198"/>
      <c r="H27" s="39" t="s">
        <v>42</v>
      </c>
      <c r="I27" s="20">
        <v>350</v>
      </c>
      <c r="J27" s="20">
        <v>65</v>
      </c>
      <c r="K27" s="20">
        <v>50</v>
      </c>
      <c r="L27" s="20">
        <f>(K27*2)+J27</f>
        <v>165</v>
      </c>
      <c r="M27" s="20">
        <f>L27*I27</f>
        <v>57750</v>
      </c>
      <c r="O27" s="20">
        <f>K27*I27</f>
        <v>17500</v>
      </c>
      <c r="P27" s="20">
        <f>J27*I27</f>
        <v>22750</v>
      </c>
    </row>
    <row r="28" spans="2:16" s="20" customFormat="1" ht="32" x14ac:dyDescent="0.2">
      <c r="B28" s="196"/>
      <c r="C28" s="11" t="s">
        <v>39</v>
      </c>
      <c r="D28" s="30">
        <v>3000</v>
      </c>
      <c r="E28" s="11">
        <v>15000</v>
      </c>
      <c r="F28" s="197" t="s">
        <v>32</v>
      </c>
      <c r="G28" s="198"/>
      <c r="H28" s="39" t="s">
        <v>43</v>
      </c>
      <c r="I28" s="20">
        <v>400</v>
      </c>
      <c r="J28" s="20">
        <v>70</v>
      </c>
      <c r="K28" s="20">
        <v>55</v>
      </c>
      <c r="L28" s="20">
        <f t="shared" ref="L28:L32" si="12">(K28*2)+J28</f>
        <v>180</v>
      </c>
      <c r="M28" s="20">
        <f t="shared" ref="M28:M32" si="13">L28*I28</f>
        <v>72000</v>
      </c>
      <c r="O28" s="20">
        <f t="shared" ref="O28:O32" si="14">K28*I28</f>
        <v>22000</v>
      </c>
      <c r="P28" s="20">
        <f t="shared" ref="P28:P32" si="15">J28*I28</f>
        <v>28000</v>
      </c>
    </row>
    <row r="29" spans="2:16" s="20" customFormat="1" ht="32" x14ac:dyDescent="0.2">
      <c r="B29" s="199" t="s">
        <v>8</v>
      </c>
      <c r="C29" s="8" t="s">
        <v>25</v>
      </c>
      <c r="D29" s="31">
        <v>5000</v>
      </c>
      <c r="E29" s="8">
        <v>20000</v>
      </c>
      <c r="F29" s="200" t="s">
        <v>33</v>
      </c>
      <c r="G29" s="201"/>
      <c r="H29" s="40" t="s">
        <v>44</v>
      </c>
      <c r="I29" s="20">
        <v>500</v>
      </c>
      <c r="J29" s="20">
        <v>80</v>
      </c>
      <c r="K29" s="20">
        <v>70</v>
      </c>
      <c r="L29" s="20">
        <f t="shared" si="12"/>
        <v>220</v>
      </c>
      <c r="M29" s="20">
        <f t="shared" si="13"/>
        <v>110000</v>
      </c>
      <c r="O29" s="20">
        <f t="shared" si="14"/>
        <v>35000</v>
      </c>
      <c r="P29" s="20">
        <f t="shared" si="15"/>
        <v>40000</v>
      </c>
    </row>
    <row r="30" spans="2:16" s="20" customFormat="1" ht="32" x14ac:dyDescent="0.2">
      <c r="B30" s="199"/>
      <c r="C30" s="8" t="s">
        <v>6</v>
      </c>
      <c r="D30" s="31">
        <v>7500</v>
      </c>
      <c r="E30" s="8">
        <v>30000</v>
      </c>
      <c r="F30" s="200" t="s">
        <v>34</v>
      </c>
      <c r="G30" s="201"/>
      <c r="H30" s="40" t="s">
        <v>46</v>
      </c>
      <c r="I30" s="20">
        <v>525</v>
      </c>
      <c r="J30" s="20">
        <v>90</v>
      </c>
      <c r="K30" s="20">
        <v>80</v>
      </c>
      <c r="L30" s="20">
        <f t="shared" si="12"/>
        <v>250</v>
      </c>
      <c r="M30" s="20">
        <f t="shared" si="13"/>
        <v>131250</v>
      </c>
      <c r="O30" s="20">
        <f t="shared" si="14"/>
        <v>42000</v>
      </c>
      <c r="P30" s="20">
        <f t="shared" si="15"/>
        <v>47250</v>
      </c>
    </row>
    <row r="31" spans="2:16" s="21" customFormat="1" ht="32" x14ac:dyDescent="0.2">
      <c r="B31" s="41" t="s">
        <v>5</v>
      </c>
      <c r="C31" s="7" t="s">
        <v>4</v>
      </c>
      <c r="D31" s="32">
        <v>10000</v>
      </c>
      <c r="E31" s="7">
        <v>40000</v>
      </c>
      <c r="F31" s="205" t="s">
        <v>36</v>
      </c>
      <c r="G31" s="206"/>
      <c r="H31" s="42" t="s">
        <v>45</v>
      </c>
      <c r="I31" s="21">
        <v>600</v>
      </c>
      <c r="J31" s="21">
        <v>100</v>
      </c>
      <c r="K31" s="21">
        <v>90</v>
      </c>
      <c r="L31" s="20">
        <f t="shared" si="12"/>
        <v>280</v>
      </c>
      <c r="M31" s="20">
        <f t="shared" si="13"/>
        <v>168000</v>
      </c>
      <c r="O31" s="20">
        <f t="shared" si="14"/>
        <v>54000</v>
      </c>
      <c r="P31" s="20">
        <f t="shared" si="15"/>
        <v>60000</v>
      </c>
    </row>
    <row r="32" spans="2:16" s="21" customFormat="1" ht="32" x14ac:dyDescent="0.2">
      <c r="B32" s="43" t="s">
        <v>3</v>
      </c>
      <c r="C32" s="6" t="s">
        <v>2</v>
      </c>
      <c r="D32" s="33">
        <v>20000</v>
      </c>
      <c r="E32" s="6">
        <v>50000</v>
      </c>
      <c r="F32" s="207" t="s">
        <v>35</v>
      </c>
      <c r="G32" s="208"/>
      <c r="H32" s="44" t="s">
        <v>1</v>
      </c>
      <c r="I32" s="21">
        <v>700</v>
      </c>
      <c r="J32" s="21">
        <v>120</v>
      </c>
      <c r="K32" s="21">
        <v>100</v>
      </c>
      <c r="L32" s="20">
        <f t="shared" si="12"/>
        <v>320</v>
      </c>
      <c r="M32" s="20">
        <f t="shared" si="13"/>
        <v>224000</v>
      </c>
      <c r="O32" s="20">
        <f t="shared" si="14"/>
        <v>70000</v>
      </c>
      <c r="P32" s="20">
        <f t="shared" si="15"/>
        <v>84000</v>
      </c>
    </row>
    <row r="36" spans="2:8" ht="30.75" customHeight="1" x14ac:dyDescent="0.2">
      <c r="B36" s="194" t="s">
        <v>47</v>
      </c>
      <c r="C36" s="194"/>
      <c r="D36" s="194"/>
      <c r="E36" s="194"/>
      <c r="F36" s="194"/>
      <c r="G36" s="194"/>
      <c r="H36" s="194"/>
    </row>
    <row r="37" spans="2:8" ht="30.75" customHeight="1" x14ac:dyDescent="0.2">
      <c r="B37" s="194" t="s">
        <v>0</v>
      </c>
      <c r="C37" s="194"/>
      <c r="D37" s="194"/>
      <c r="E37" s="194"/>
      <c r="F37" s="194"/>
      <c r="G37" s="194"/>
      <c r="H37" s="194"/>
    </row>
  </sheetData>
  <mergeCells count="13">
    <mergeCell ref="C4:G4"/>
    <mergeCell ref="C22:H22"/>
    <mergeCell ref="F31:G31"/>
    <mergeCell ref="F32:G32"/>
    <mergeCell ref="B36:H36"/>
    <mergeCell ref="B37:H37"/>
    <mergeCell ref="B25:B26"/>
    <mergeCell ref="B27:B28"/>
    <mergeCell ref="F27:G27"/>
    <mergeCell ref="F28:G28"/>
    <mergeCell ref="B29:B30"/>
    <mergeCell ref="F29:G29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2019</vt:lpstr>
      <vt:lpstr>Calculadora</vt:lpstr>
      <vt:lpstr>RawData Nova Tabela</vt:lpstr>
      <vt:lpstr>Tabela Arbitragem Simplificada</vt:lpstr>
      <vt:lpstr>Contas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Felipe Chads</cp:lastModifiedBy>
  <dcterms:created xsi:type="dcterms:W3CDTF">2013-11-18T21:01:05Z</dcterms:created>
  <dcterms:modified xsi:type="dcterms:W3CDTF">2020-07-14T18:59:18Z</dcterms:modified>
</cp:coreProperties>
</file>